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perações" sheetId="1" state="visible" r:id="rId1"/>
    <sheet xmlns:r="http://schemas.openxmlformats.org/officeDocument/2006/relationships" name="Resumo" sheetId="2" state="visible" r:id="rId2"/>
    <sheet xmlns:r="http://schemas.openxmlformats.org/officeDocument/2006/relationships" name="Instruções" sheetId="3" state="visible" r:id="rId3"/>
  </sheets>
  <definedNames>
    <definedName name="_xlnm._FilterDatabase" localSheetId="0" hidden="1">'Operações'!$A$4:$Y$104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R$&quot; #.##0,00"/>
    <numFmt numFmtId="166" formatCode="0,00%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0E7490"/>
      <sz val="10"/>
    </font>
    <font>
      <name val="Aptos"/>
      <b val="1"/>
      <color rgb="00FFFFFF"/>
      <sz val="10"/>
    </font>
    <font>
      <name val="Aptos"/>
      <color rgb="00111827"/>
      <sz val="10"/>
    </font>
    <font>
      <name val="Aptos"/>
      <color rgb="000E7490"/>
      <sz val="10"/>
    </font>
    <font>
      <name val="Aptos Display"/>
      <b val="1"/>
      <color rgb="00FFFFFF"/>
      <sz val="14"/>
    </font>
  </fonts>
  <fills count="8">
    <fill>
      <patternFill/>
    </fill>
    <fill>
      <patternFill patternType="gray125"/>
    </fill>
    <fill>
      <patternFill patternType="solid">
        <fgColor rgb="00111827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F0FDFA"/>
      </patternFill>
    </fill>
    <fill>
      <patternFill patternType="solid">
        <fgColor rgb="0006B6D4"/>
      </patternFill>
    </fill>
    <fill>
      <patternFill patternType="solid">
        <fgColor rgb="000E7490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164" fontId="4" fillId="3" borderId="1" applyAlignment="1" pivotButton="0" quotePrefix="0" xfId="0">
      <alignment horizontal="center" vertical="center" wrapText="1"/>
    </xf>
    <xf numFmtId="165" fontId="4" fillId="3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center" vertical="center" wrapText="1"/>
    </xf>
    <xf numFmtId="3" fontId="4" fillId="3" borderId="1" applyAlignment="1" pivotButton="0" quotePrefix="0" xfId="0">
      <alignment horizontal="center" vertical="center" wrapText="1"/>
    </xf>
    <xf numFmtId="165" fontId="5" fillId="4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165" fontId="5" fillId="5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center" wrapText="1"/>
    </xf>
    <xf numFmtId="3" fontId="6" fillId="2" borderId="1" applyAlignment="1" pivotButton="0" quotePrefix="0" xfId="0">
      <alignment horizontal="right" vertical="center"/>
    </xf>
    <xf numFmtId="165" fontId="6" fillId="2" borderId="1" applyAlignment="1" pivotButton="0" quotePrefix="0" xfId="0">
      <alignment horizontal="right" vertical="center"/>
    </xf>
    <xf numFmtId="166" fontId="6" fillId="2" borderId="1" applyAlignment="1" pivotButton="0" quotePrefix="0" xfId="0">
      <alignment horizontal="right" vertical="center"/>
    </xf>
    <xf numFmtId="0" fontId="3" fillId="7" borderId="0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left" vertical="center" wrapText="1"/>
    </xf>
    <xf numFmtId="166" fontId="4" fillId="5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left" vertical="center" wrapText="1"/>
    </xf>
    <xf numFmtId="166" fontId="4" fillId="4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0" fillId="5" borderId="1" pivotButton="0" quotePrefix="0" xfId="0"/>
    <xf numFmtId="0" fontId="4" fillId="4" borderId="1" applyAlignment="1" pivotButton="0" quotePrefix="0" xfId="0">
      <alignment horizontal="left" vertical="top" wrapText="1"/>
    </xf>
    <xf numFmtId="0" fontId="0" fillId="4" borderId="1" pivotButton="0" quotePrefix="0" xfId="0"/>
  </cellXfs>
  <cellStyles count="1">
    <cellStyle name="Normal" xfId="0" builtinId="0" hidden="0"/>
  </cellStyles>
  <dxfs count="3">
    <dxf>
      <font>
        <name val="Aptos"/>
        <b val="1"/>
        <color rgb="00991B1B"/>
        <sz val="10"/>
      </font>
      <fill>
        <patternFill patternType="solid">
          <fgColor rgb="00FEE2E2"/>
        </patternFill>
      </fill>
    </dxf>
    <dxf>
      <font>
        <name val="Aptos"/>
        <b val="1"/>
        <color rgb="00166534"/>
        <sz val="10"/>
      </font>
      <fill>
        <patternFill patternType="solid">
          <fgColor rgb="00DCFCE7"/>
        </patternFill>
      </fill>
    </dxf>
    <dxf>
      <font>
        <name val="Aptos"/>
        <color rgb="00111827"/>
        <sz val="10"/>
      </font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Valor aprovado por instituição financeira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'Resumo'!C15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'Resumo'!$A$16:$A$20</f>
            </numRef>
          </cat>
          <val>
            <numRef>
              <f>'Resumo'!$C$16:$C$20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Instituição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aprovado (R$)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das operações por situação</a:t>
            </a:r>
          </a:p>
        </rich>
      </tx>
    </title>
    <plotArea>
      <doughnutChart>
        <varyColors val="1"/>
        <ser>
          <idx val="0"/>
          <order val="0"/>
          <tx>
            <strRef>
              <f>'Resumo'!G15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'Resumo'!$F$16:$F$20</f>
            </numRef>
          </cat>
          <val>
            <numRef>
              <f>'Resumo'!$G$16:$G$20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Valor aprovado por finalidade do crédito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'Resumo'!K15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'Resumo'!$J$16:$J$19</f>
            </numRef>
          </cat>
          <val>
            <numRef>
              <f>'Resumo'!$K$16:$K$19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aprovado (R$)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Finalidade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22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22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39</row>
      <rowOff>0</rowOff>
    </from>
    <ext cx="540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20" customWidth="1" min="2" max="2"/>
    <col width="31" customWidth="1" min="3" max="3"/>
    <col width="22" customWidth="1" min="4" max="4"/>
    <col width="19" customWidth="1" min="5" max="5"/>
    <col width="25" customWidth="1" min="6" max="6"/>
    <col width="20" customWidth="1" min="7" max="7"/>
    <col width="15" customWidth="1" min="8" max="8"/>
    <col width="15" customWidth="1" min="9" max="9"/>
    <col width="24" customWidth="1" min="10" max="10"/>
    <col width="16" customWidth="1" min="11" max="11"/>
    <col width="16" customWidth="1" min="12" max="12"/>
    <col width="14" customWidth="1" min="13" max="13"/>
    <col width="14" customWidth="1" min="14" max="14"/>
    <col width="16" customWidth="1" min="15" max="15"/>
    <col width="18" customWidth="1" min="16" max="16"/>
    <col width="20" customWidth="1" min="17" max="17"/>
    <col width="15" customWidth="1" min="18" max="18"/>
    <col width="17" customWidth="1" min="19" max="19"/>
    <col width="16" customWidth="1" min="20" max="20"/>
    <col width="21" customWidth="1" min="21" max="21"/>
    <col width="17" customWidth="1" min="22" max="22"/>
    <col width="21" customWidth="1" min="23" max="23"/>
    <col width="32" customWidth="1" min="24" max="24"/>
    <col width="21" customWidth="1" min="25" max="25"/>
  </cols>
  <sheetData>
    <row r="1" ht="30" customHeight="1">
      <c r="A1" s="1" t="inlineStr">
        <is>
          <t>CONTROLE GERENCIAL PRONAMPE | OPERAÇÕES DE CRÉDITO</t>
        </is>
      </c>
    </row>
    <row r="2">
      <c r="A2" s="2" t="inlineStr">
        <is>
          <t>Base operacional preparada para 100 registros | Atualize somente as células amarelas e valide os dados contratuais.</t>
        </is>
      </c>
    </row>
    <row r="3"/>
    <row r="4" ht="38" customHeight="1">
      <c r="A4" s="3" t="inlineStr">
        <is>
          <t>ID da operação</t>
        </is>
      </c>
      <c r="B4" s="3" t="inlineStr">
        <is>
          <t>CNPJ</t>
        </is>
      </c>
      <c r="C4" s="3" t="inlineStr">
        <is>
          <t>Empresa</t>
        </is>
      </c>
      <c r="D4" s="3" t="inlineStr">
        <is>
          <t>Responsável</t>
        </is>
      </c>
      <c r="E4" s="3" t="inlineStr">
        <is>
          <t>Cidade/UF</t>
        </is>
      </c>
      <c r="F4" s="3" t="inlineStr">
        <is>
          <t>Banco/instituição financeira</t>
        </is>
      </c>
      <c r="G4" s="3" t="inlineStr">
        <is>
          <t>Regime tributário</t>
        </is>
      </c>
      <c r="H4" s="3" t="inlineStr">
        <is>
          <t>Data da solicitação</t>
        </is>
      </c>
      <c r="I4" s="3" t="inlineStr">
        <is>
          <t>Data da contratação</t>
        </is>
      </c>
      <c r="J4" s="3" t="inlineStr">
        <is>
          <t>Finalidade do crédito</t>
        </is>
      </c>
      <c r="K4" s="3" t="inlineStr">
        <is>
          <t>Valor solicitado</t>
        </is>
      </c>
      <c r="L4" s="3" t="inlineStr">
        <is>
          <t>Valor aprovado</t>
        </is>
      </c>
      <c r="M4" s="3" t="inlineStr">
        <is>
          <t>Taxa anual (%)</t>
        </is>
      </c>
      <c r="N4" s="3" t="inlineStr">
        <is>
          <t>Prazo (meses)</t>
        </is>
      </c>
      <c r="O4" s="3" t="inlineStr">
        <is>
          <t>Carência (meses)</t>
        </is>
      </c>
      <c r="P4" s="3" t="inlineStr">
        <is>
          <t>Valor da parcela</t>
        </is>
      </c>
      <c r="Q4" s="3" t="inlineStr">
        <is>
          <t>Total estimado a pagar</t>
        </is>
      </c>
      <c r="R4" s="3" t="inlineStr">
        <is>
          <t>Parcelas pagas</t>
        </is>
      </c>
      <c r="S4" s="3" t="inlineStr">
        <is>
          <t>Parcelas em atraso</t>
        </is>
      </c>
      <c r="T4" s="3" t="inlineStr">
        <is>
          <t>Próximo vencimento</t>
        </is>
      </c>
      <c r="U4" s="3" t="inlineStr">
        <is>
          <t>Saldo devedor estimado</t>
        </is>
      </c>
      <c r="V4" s="3" t="inlineStr">
        <is>
          <t>Percentual quitado</t>
        </is>
      </c>
      <c r="W4" s="3" t="inlineStr">
        <is>
          <t>Situação</t>
        </is>
      </c>
      <c r="X4" s="3" t="inlineStr">
        <is>
          <t>Observações</t>
        </is>
      </c>
      <c r="Y4" s="3" t="inlineStr">
        <is>
          <t>Taxa média anual referência</t>
        </is>
      </c>
    </row>
    <row r="5">
      <c r="A5" s="4" t="inlineStr">
        <is>
          <t>PRN-2026-001</t>
        </is>
      </c>
      <c r="B5" s="4" t="inlineStr">
        <is>
          <t>12.345.678/0001-90</t>
        </is>
      </c>
      <c r="C5" s="5" t="inlineStr">
        <is>
          <t>Alfa Comércio e Serviços Ltda</t>
        </is>
      </c>
      <c r="D5" s="5" t="inlineStr">
        <is>
          <t>João Silva</t>
        </is>
      </c>
      <c r="E5" s="4" t="inlineStr">
        <is>
          <t>São Paulo/SP</t>
        </is>
      </c>
      <c r="F5" s="4" t="inlineStr">
        <is>
          <t>Banco do Brasil</t>
        </is>
      </c>
      <c r="G5" s="4" t="inlineStr">
        <is>
          <t>Simples Nacional</t>
        </is>
      </c>
      <c r="H5" s="6" t="n">
        <v>46037</v>
      </c>
      <c r="I5" s="6" t="n">
        <v>46051</v>
      </c>
      <c r="J5" s="5" t="inlineStr">
        <is>
          <t>Capital de giro</t>
        </is>
      </c>
      <c r="K5" s="7" t="n">
        <v>50000</v>
      </c>
      <c r="L5" s="7" t="n">
        <v>45000</v>
      </c>
      <c r="M5" s="8" t="n">
        <v>0.09</v>
      </c>
      <c r="N5" s="9" t="n">
        <v>36</v>
      </c>
      <c r="O5" s="9" t="n">
        <v>3</v>
      </c>
      <c r="P5" s="10">
        <f>IF(OR(L5="",M5="",N5=""),"",IFERROR(L5*((M5/12)*(1+M5/12)^N5)/(((1+M5/12)^N5)-1),""))</f>
        <v/>
      </c>
      <c r="Q5" s="10">
        <f>IF(A5="","",IFERROR(P5*N5,""))</f>
        <v/>
      </c>
      <c r="R5" s="9" t="n">
        <v>8</v>
      </c>
      <c r="S5" s="9" t="n">
        <v>0</v>
      </c>
      <c r="T5" s="6" t="n">
        <v>46288</v>
      </c>
      <c r="U5" s="10">
        <f>IF(A5="","",IFERROR(MAX(0,Q5-(R5*P5)),""))</f>
        <v/>
      </c>
      <c r="V5" s="11">
        <f>IF(A5="","",IFERROR(MIN(1,R5/N5),0))</f>
        <v/>
      </c>
      <c r="W5" s="12">
        <f>IF(A5="","",IF(U5&lt;=0,"Quitado",IF(S5&gt;0,"Em atraso",IF(T5="","Sem vencimento",IF(T5&lt;=TODAY()+30,"Vencimento próximo","Em dia")))))</f>
        <v/>
      </c>
      <c r="X5" s="5" t="inlineStr">
        <is>
          <t>Fluxo de caixa regular; documentos conferidos.</t>
        </is>
      </c>
      <c r="Y5" s="12">
        <f>IF(A5="","",IFERROR(VLOOKUP(F5,'Resumo'!$A$16:$D$20,4,FALSE),""))</f>
        <v/>
      </c>
    </row>
    <row r="6">
      <c r="A6" s="4" t="inlineStr">
        <is>
          <t>PRN-2026-002</t>
        </is>
      </c>
      <c r="B6" s="4" t="inlineStr">
        <is>
          <t>23.456.789/0001-01</t>
        </is>
      </c>
      <c r="C6" s="5" t="inlineStr">
        <is>
          <t>Carioca Soluções Digitais Ltda</t>
        </is>
      </c>
      <c r="D6" s="5" t="inlineStr">
        <is>
          <t>Maria Oliveira</t>
        </is>
      </c>
      <c r="E6" s="4" t="inlineStr">
        <is>
          <t>Rio de Janeiro/RJ</t>
        </is>
      </c>
      <c r="F6" s="4" t="inlineStr">
        <is>
          <t>Caixa</t>
        </is>
      </c>
      <c r="G6" s="4" t="inlineStr">
        <is>
          <t>Simples Nacional</t>
        </is>
      </c>
      <c r="H6" s="6" t="n">
        <v>46056</v>
      </c>
      <c r="I6" s="6" t="n">
        <v>46073</v>
      </c>
      <c r="J6" s="5" t="inlineStr">
        <is>
          <t>Compra de equipamentos</t>
        </is>
      </c>
      <c r="K6" s="7" t="n">
        <v>85000</v>
      </c>
      <c r="L6" s="7" t="n">
        <v>80000</v>
      </c>
      <c r="M6" s="8" t="n">
        <v>0.1</v>
      </c>
      <c r="N6" s="9" t="n">
        <v>48</v>
      </c>
      <c r="O6" s="9" t="n">
        <v>6</v>
      </c>
      <c r="P6" s="13">
        <f>IF(OR(L6="",M6="",N6=""),"",IFERROR(L6*((M6/12)*(1+M6/12)^N6)/(((1+M6/12)^N6)-1),""))</f>
        <v/>
      </c>
      <c r="Q6" s="13">
        <f>IF(A6="","",IFERROR(P6*N6,""))</f>
        <v/>
      </c>
      <c r="R6" s="9" t="n">
        <v>5</v>
      </c>
      <c r="S6" s="9" t="n">
        <v>0</v>
      </c>
      <c r="T6" s="6" t="n">
        <v>46323</v>
      </c>
      <c r="U6" s="13">
        <f>IF(A6="","",IFERROR(MAX(0,Q6-(R6*P6)),""))</f>
        <v/>
      </c>
      <c r="V6" s="14">
        <f>IF(A6="","",IFERROR(MIN(1,R6/N6),0))</f>
        <v/>
      </c>
      <c r="W6" s="15">
        <f>IF(A6="","",IF(U6&lt;=0,"Quitado",IF(S6&gt;0,"Em atraso",IF(T6="","Sem vencimento",IF(T6&lt;=TODAY()+30,"Vencimento próximo","Em dia")))))</f>
        <v/>
      </c>
      <c r="X6" s="5" t="inlineStr">
        <is>
          <t>Aquisição de servidores e licenças.</t>
        </is>
      </c>
      <c r="Y6" s="15">
        <f>IF(A6="","",IFERROR(VLOOKUP(F6,'Resumo'!$A$16:$D$20,4,FALSE),""))</f>
        <v/>
      </c>
    </row>
    <row r="7">
      <c r="A7" s="4" t="inlineStr">
        <is>
          <t>PRN-2026-003</t>
        </is>
      </c>
      <c r="B7" s="4" t="inlineStr">
        <is>
          <t>34.567.890/0001-12</t>
        </is>
      </c>
      <c r="C7" s="5" t="inlineStr">
        <is>
          <t>Minas Equipamentos ME</t>
        </is>
      </c>
      <c r="D7" s="5" t="inlineStr">
        <is>
          <t>Pedro Santos</t>
        </is>
      </c>
      <c r="E7" s="4" t="inlineStr">
        <is>
          <t>Belo Horizonte/MG</t>
        </is>
      </c>
      <c r="F7" s="4" t="inlineStr">
        <is>
          <t>Itaú</t>
        </is>
      </c>
      <c r="G7" s="4" t="inlineStr">
        <is>
          <t>MEI</t>
        </is>
      </c>
      <c r="H7" s="6" t="n">
        <v>46093</v>
      </c>
      <c r="I7" s="6" t="n">
        <v>46108</v>
      </c>
      <c r="J7" s="5" t="inlineStr">
        <is>
          <t>Estoque</t>
        </is>
      </c>
      <c r="K7" s="7" t="n">
        <v>125000</v>
      </c>
      <c r="L7" s="7" t="n">
        <v>118000</v>
      </c>
      <c r="M7" s="8" t="n">
        <v>0.12</v>
      </c>
      <c r="N7" s="9" t="n">
        <v>36</v>
      </c>
      <c r="O7" s="9" t="n">
        <v>4</v>
      </c>
      <c r="P7" s="10">
        <f>IF(OR(L7="",M7="",N7=""),"",IFERROR(L7*((M7/12)*(1+M7/12)^N7)/(((1+M7/12)^N7)-1),""))</f>
        <v/>
      </c>
      <c r="Q7" s="10">
        <f>IF(A7="","",IFERROR(P7*N7,""))</f>
        <v/>
      </c>
      <c r="R7" s="9" t="n">
        <v>11</v>
      </c>
      <c r="S7" s="9" t="n">
        <v>1</v>
      </c>
      <c r="T7" s="6" t="n">
        <v>46261</v>
      </c>
      <c r="U7" s="10">
        <f>IF(A7="","",IFERROR(MAX(0,Q7-(R7*P7)),""))</f>
        <v/>
      </c>
      <c r="V7" s="11">
        <f>IF(A7="","",IFERROR(MIN(1,R7/N7),0))</f>
        <v/>
      </c>
      <c r="W7" s="12">
        <f>IF(A7="","",IF(U7&lt;=0,"Quitado",IF(S7&gt;0,"Em atraso",IF(T7="","Sem vencimento",IF(T7&lt;=TODAY()+30,"Vencimento próximo","Em dia")))))</f>
        <v/>
      </c>
      <c r="X7" s="5" t="inlineStr">
        <is>
          <t>Parcela pendente em processo de regularização.</t>
        </is>
      </c>
      <c r="Y7" s="12">
        <f>IF(A7="","",IFERROR(VLOOKUP(F7,'Resumo'!$A$16:$D$20,4,FALSE),""))</f>
        <v/>
      </c>
    </row>
    <row r="8">
      <c r="A8" s="4" t="inlineStr">
        <is>
          <t>PRN-2026-004</t>
        </is>
      </c>
      <c r="B8" s="4" t="inlineStr">
        <is>
          <t>45.678.901/0001-23</t>
        </is>
      </c>
      <c r="C8" s="5" t="inlineStr">
        <is>
          <t>Paraná Alimentos Ltda</t>
        </is>
      </c>
      <c r="D8" s="5" t="inlineStr">
        <is>
          <t>Ana Souza</t>
        </is>
      </c>
      <c r="E8" s="4" t="inlineStr">
        <is>
          <t>Curitiba/PR</t>
        </is>
      </c>
      <c r="F8" s="4" t="inlineStr">
        <is>
          <t>Bradesco</t>
        </is>
      </c>
      <c r="G8" s="4" t="inlineStr">
        <is>
          <t>Simples Nacional</t>
        </is>
      </c>
      <c r="H8" s="6" t="n">
        <v>46121</v>
      </c>
      <c r="I8" s="6" t="n">
        <v>46136</v>
      </c>
      <c r="J8" s="5" t="inlineStr">
        <is>
          <t>Reforma</t>
        </is>
      </c>
      <c r="K8" s="7" t="n">
        <v>65000</v>
      </c>
      <c r="L8" s="7" t="n">
        <v>60000</v>
      </c>
      <c r="M8" s="8" t="n">
        <v>0.08</v>
      </c>
      <c r="N8" s="9" t="n">
        <v>30</v>
      </c>
      <c r="O8" s="9" t="n">
        <v>3</v>
      </c>
      <c r="P8" s="13">
        <f>IF(OR(L8="",M8="",N8=""),"",IFERROR(L8*((M8/12)*(1+M8/12)^N8)/(((1+M8/12)^N8)-1),""))</f>
        <v/>
      </c>
      <c r="Q8" s="13">
        <f>IF(A8="","",IFERROR(P8*N8,""))</f>
        <v/>
      </c>
      <c r="R8" s="9" t="n">
        <v>7</v>
      </c>
      <c r="S8" s="9" t="n">
        <v>0</v>
      </c>
      <c r="T8" s="6" t="n">
        <v>46280</v>
      </c>
      <c r="U8" s="13">
        <f>IF(A8="","",IFERROR(MAX(0,Q8-(R8*P8)),""))</f>
        <v/>
      </c>
      <c r="V8" s="14">
        <f>IF(A8="","",IFERROR(MIN(1,R8/N8),0))</f>
        <v/>
      </c>
      <c r="W8" s="15">
        <f>IF(A8="","",IF(U8&lt;=0,"Quitado",IF(S8&gt;0,"Em atraso",IF(T8="","Sem vencimento",IF(T8&lt;=TODAY()+30,"Vencimento próximo","Em dia")))))</f>
        <v/>
      </c>
      <c r="X8" s="5" t="inlineStr">
        <is>
          <t>Reforma da área de produção.</t>
        </is>
      </c>
      <c r="Y8" s="15">
        <f>IF(A8="","",IFERROR(VLOOKUP(F8,'Resumo'!$A$16:$D$20,4,FALSE),""))</f>
        <v/>
      </c>
    </row>
    <row r="9">
      <c r="A9" s="4" t="inlineStr">
        <is>
          <t>PRN-2026-005</t>
        </is>
      </c>
      <c r="B9" s="4" t="inlineStr">
        <is>
          <t>56.789.012/0001-34</t>
        </is>
      </c>
      <c r="C9" s="5" t="inlineStr">
        <is>
          <t>SulLog Transportes Ltda</t>
        </is>
      </c>
      <c r="D9" s="5" t="inlineStr">
        <is>
          <t>Carlos Pereira</t>
        </is>
      </c>
      <c r="E9" s="4" t="inlineStr">
        <is>
          <t>Porto Alegre/RS</t>
        </is>
      </c>
      <c r="F9" s="4" t="inlineStr">
        <is>
          <t>Sicredi</t>
        </is>
      </c>
      <c r="G9" s="4" t="inlineStr">
        <is>
          <t>Lucro Presumido</t>
        </is>
      </c>
      <c r="H9" s="6" t="n">
        <v>46157</v>
      </c>
      <c r="I9" s="6" t="n">
        <v>46171</v>
      </c>
      <c r="J9" s="5" t="inlineStr">
        <is>
          <t>Compra de equipamentos</t>
        </is>
      </c>
      <c r="K9" s="7" t="n">
        <v>155000</v>
      </c>
      <c r="L9" s="7" t="n">
        <v>140000</v>
      </c>
      <c r="M9" s="8" t="n">
        <v>0.11</v>
      </c>
      <c r="N9" s="9" t="n">
        <v>48</v>
      </c>
      <c r="O9" s="9" t="n">
        <v>6</v>
      </c>
      <c r="P9" s="10">
        <f>IF(OR(L9="",M9="",N9=""),"",IFERROR(L9*((M9/12)*(1+M9/12)^N9)/(((1+M9/12)^N9)-1),""))</f>
        <v/>
      </c>
      <c r="Q9" s="10">
        <f>IF(A9="","",IFERROR(P9*N9,""))</f>
        <v/>
      </c>
      <c r="R9" s="9" t="n">
        <v>9</v>
      </c>
      <c r="S9" s="9" t="n">
        <v>0</v>
      </c>
      <c r="T9" s="6" t="n">
        <v>46318</v>
      </c>
      <c r="U9" s="10">
        <f>IF(A9="","",IFERROR(MAX(0,Q9-(R9*P9)),""))</f>
        <v/>
      </c>
      <c r="V9" s="11">
        <f>IF(A9="","",IFERROR(MIN(1,R9/N9),0))</f>
        <v/>
      </c>
      <c r="W9" s="12">
        <f>IF(A9="","",IF(U9&lt;=0,"Quitado",IF(S9&gt;0,"Em atraso",IF(T9="","Sem vencimento",IF(T9&lt;=TODAY()+30,"Vencimento próximo","Em dia")))))</f>
        <v/>
      </c>
      <c r="X9" s="5" t="inlineStr">
        <is>
          <t>Veículo utilitário e equipamentos logísticos.</t>
        </is>
      </c>
      <c r="Y9" s="12">
        <f>IF(A9="","",IFERROR(VLOOKUP(F9,'Resumo'!$A$16:$D$20,4,FALSE),""))</f>
        <v/>
      </c>
    </row>
    <row r="10">
      <c r="A10" s="4" t="inlineStr">
        <is>
          <t>PRN-2026-006</t>
        </is>
      </c>
      <c r="B10" s="4" t="inlineStr">
        <is>
          <t>67.890.123/0001-45</t>
        </is>
      </c>
      <c r="C10" s="5" t="inlineStr">
        <is>
          <t>Bahia Moda e Confecção Ltda</t>
        </is>
      </c>
      <c r="D10" s="5" t="inlineStr">
        <is>
          <t>Juliana Costa</t>
        </is>
      </c>
      <c r="E10" s="4" t="inlineStr">
        <is>
          <t>Salvador/BA</t>
        </is>
      </c>
      <c r="F10" s="4" t="inlineStr">
        <is>
          <t>Banco do Brasil</t>
        </is>
      </c>
      <c r="G10" s="4" t="inlineStr">
        <is>
          <t>Simples Nacional</t>
        </is>
      </c>
      <c r="H10" s="6" t="n">
        <v>46175</v>
      </c>
      <c r="I10" s="6" t="n">
        <v>46191</v>
      </c>
      <c r="J10" s="5" t="inlineStr">
        <is>
          <t>Estoque</t>
        </is>
      </c>
      <c r="K10" s="7" t="n">
        <v>90000</v>
      </c>
      <c r="L10" s="7" t="n">
        <v>85000</v>
      </c>
      <c r="M10" s="8" t="n">
        <v>0.13</v>
      </c>
      <c r="N10" s="9" t="n">
        <v>36</v>
      </c>
      <c r="O10" s="9" t="n">
        <v>3</v>
      </c>
      <c r="P10" s="13">
        <f>IF(OR(L10="",M10="",N10=""),"",IFERROR(L10*((M10/12)*(1+M10/12)^N10)/(((1+M10/12)^N10)-1),""))</f>
        <v/>
      </c>
      <c r="Q10" s="13">
        <f>IF(A10="","",IFERROR(P10*N10,""))</f>
        <v/>
      </c>
      <c r="R10" s="9" t="n">
        <v>10</v>
      </c>
      <c r="S10" s="9" t="n">
        <v>2</v>
      </c>
      <c r="T10" s="6" t="n">
        <v>46233</v>
      </c>
      <c r="U10" s="13">
        <f>IF(A10="","",IFERROR(MAX(0,Q10-(R10*P10)),""))</f>
        <v/>
      </c>
      <c r="V10" s="14">
        <f>IF(A10="","",IFERROR(MIN(1,R10/N10),0))</f>
        <v/>
      </c>
      <c r="W10" s="15">
        <f>IF(A10="","",IF(U10&lt;=0,"Quitado",IF(S10&gt;0,"Em atraso",IF(T10="","Sem vencimento",IF(T10&lt;=TODAY()+30,"Vencimento próximo","Em dia")))))</f>
        <v/>
      </c>
      <c r="X10" s="5" t="inlineStr">
        <is>
          <t>Negociação de parcelas com a instituição.</t>
        </is>
      </c>
      <c r="Y10" s="15">
        <f>IF(A10="","",IFERROR(VLOOKUP(F10,'Resumo'!$A$16:$D$20,4,FALSE),""))</f>
        <v/>
      </c>
    </row>
    <row r="11">
      <c r="A11" s="4" t="inlineStr">
        <is>
          <t>PRN-2026-007</t>
        </is>
      </c>
      <c r="B11" s="4" t="inlineStr">
        <is>
          <t>78.901.234/0001-56</t>
        </is>
      </c>
      <c r="C11" s="5" t="inlineStr">
        <is>
          <t>Nordeste Saúde Ocupacional Ltda</t>
        </is>
      </c>
      <c r="D11" s="5" t="inlineStr">
        <is>
          <t>Rafael Almeida</t>
        </is>
      </c>
      <c r="E11" s="4" t="inlineStr">
        <is>
          <t>Recife/PE</t>
        </is>
      </c>
      <c r="F11" s="4" t="inlineStr">
        <is>
          <t>Caixa</t>
        </is>
      </c>
      <c r="G11" s="4" t="inlineStr">
        <is>
          <t>Lucro Presumido</t>
        </is>
      </c>
      <c r="H11" s="6" t="n">
        <v>46192</v>
      </c>
      <c r="I11" s="6" t="n">
        <v>46206</v>
      </c>
      <c r="J11" s="5" t="inlineStr">
        <is>
          <t>Capital de giro</t>
        </is>
      </c>
      <c r="K11" s="7" t="n">
        <v>52000</v>
      </c>
      <c r="L11" s="7" t="n">
        <v>50000</v>
      </c>
      <c r="M11" s="8" t="n">
        <v>0.07000000000000001</v>
      </c>
      <c r="N11" s="9" t="n">
        <v>24</v>
      </c>
      <c r="O11" s="9" t="n">
        <v>2</v>
      </c>
      <c r="P11" s="10">
        <f>IF(OR(L11="",M11="",N11=""),"",IFERROR(L11*((M11/12)*(1+M11/12)^N11)/(((1+M11/12)^N11)-1),""))</f>
        <v/>
      </c>
      <c r="Q11" s="10">
        <f>IF(A11="","",IFERROR(P11*N11,""))</f>
        <v/>
      </c>
      <c r="R11" s="9" t="n">
        <v>12</v>
      </c>
      <c r="S11" s="9" t="n">
        <v>0</v>
      </c>
      <c r="T11" s="6" t="n">
        <v>46293</v>
      </c>
      <c r="U11" s="10">
        <f>IF(A11="","",IFERROR(MAX(0,Q11-(R11*P11)),""))</f>
        <v/>
      </c>
      <c r="V11" s="11">
        <f>IF(A11="","",IFERROR(MIN(1,R11/N11),0))</f>
        <v/>
      </c>
      <c r="W11" s="12">
        <f>IF(A11="","",IF(U11&lt;=0,"Quitado",IF(S11&gt;0,"Em atraso",IF(T11="","Sem vencimento",IF(T11&lt;=TODAY()+30,"Vencimento próximo","Em dia")))))</f>
        <v/>
      </c>
      <c r="X11" s="5" t="inlineStr">
        <is>
          <t>Operação acompanhada sem pendências.</t>
        </is>
      </c>
      <c r="Y11" s="12">
        <f>IF(A11="","",IFERROR(VLOOKUP(F11,'Resumo'!$A$16:$D$20,4,FALSE),""))</f>
        <v/>
      </c>
    </row>
    <row r="12">
      <c r="A12" s="4" t="inlineStr">
        <is>
          <t>PRN-2026-008</t>
        </is>
      </c>
      <c r="B12" s="4" t="inlineStr">
        <is>
          <t>89.012.345/0001-67</t>
        </is>
      </c>
      <c r="C12" s="5" t="inlineStr">
        <is>
          <t>Ceará Tecnologia ME</t>
        </is>
      </c>
      <c r="D12" s="5" t="inlineStr">
        <is>
          <t>Camila Ferreira</t>
        </is>
      </c>
      <c r="E12" s="4" t="inlineStr">
        <is>
          <t>Fortaleza/CE</t>
        </is>
      </c>
      <c r="F12" s="4" t="inlineStr">
        <is>
          <t>Itaú</t>
        </is>
      </c>
      <c r="G12" s="4" t="inlineStr">
        <is>
          <t>Simples Nacional</t>
        </is>
      </c>
      <c r="H12" s="6" t="n">
        <v>46210</v>
      </c>
      <c r="I12" s="6" t="n">
        <v>46225</v>
      </c>
      <c r="J12" s="5" t="inlineStr">
        <is>
          <t>Compra de equipamentos</t>
        </is>
      </c>
      <c r="K12" s="7" t="n">
        <v>210000</v>
      </c>
      <c r="L12" s="7" t="n">
        <v>195000</v>
      </c>
      <c r="M12" s="8" t="n">
        <v>0.14</v>
      </c>
      <c r="N12" s="9" t="n">
        <v>48</v>
      </c>
      <c r="O12" s="9" t="n">
        <v>6</v>
      </c>
      <c r="P12" s="13">
        <f>IF(OR(L12="",M12="",N12=""),"",IFERROR(L12*((M12/12)*(1+M12/12)^N12)/(((1+M12/12)^N12)-1),""))</f>
        <v/>
      </c>
      <c r="Q12" s="13">
        <f>IF(A12="","",IFERROR(P12*N12,""))</f>
        <v/>
      </c>
      <c r="R12" s="9" t="n">
        <v>6</v>
      </c>
      <c r="S12" s="9" t="n">
        <v>0</v>
      </c>
      <c r="T12" s="6" t="n">
        <v>46348</v>
      </c>
      <c r="U12" s="13">
        <f>IF(A12="","",IFERROR(MAX(0,Q12-(R12*P12)),""))</f>
        <v/>
      </c>
      <c r="V12" s="14">
        <f>IF(A12="","",IFERROR(MIN(1,R12/N12),0))</f>
        <v/>
      </c>
      <c r="W12" s="15">
        <f>IF(A12="","",IF(U12&lt;=0,"Quitado",IF(S12&gt;0,"Em atraso",IF(T12="","Sem vencimento",IF(T12&lt;=TODAY()+30,"Vencimento próximo","Em dia")))))</f>
        <v/>
      </c>
      <c r="X12" s="5" t="inlineStr">
        <is>
          <t>Expansão da infraestrutura tecnológica.</t>
        </is>
      </c>
      <c r="Y12" s="15">
        <f>IF(A12="","",IFERROR(VLOOKUP(F12,'Resumo'!$A$16:$D$20,4,FALSE),""))</f>
        <v/>
      </c>
    </row>
    <row r="13">
      <c r="A13" s="4" t="inlineStr">
        <is>
          <t>PRN-2026-009</t>
        </is>
      </c>
      <c r="B13" s="4" t="inlineStr">
        <is>
          <t>90.123.456/0001-78</t>
        </is>
      </c>
      <c r="C13" s="5" t="inlineStr">
        <is>
          <t>Centro Oeste Construções Ltda</t>
        </is>
      </c>
      <c r="D13" s="5" t="inlineStr">
        <is>
          <t>Lucas Rodrigues</t>
        </is>
      </c>
      <c r="E13" s="4" t="inlineStr">
        <is>
          <t>Brasília/DF</t>
        </is>
      </c>
      <c r="F13" s="4" t="inlineStr">
        <is>
          <t>Bradesco</t>
        </is>
      </c>
      <c r="G13" s="4" t="inlineStr">
        <is>
          <t>Lucro Presumido</t>
        </is>
      </c>
      <c r="H13" s="6" t="n">
        <v>46238</v>
      </c>
      <c r="I13" s="6" t="n">
        <v>46252</v>
      </c>
      <c r="J13" s="5" t="inlineStr">
        <is>
          <t>Reforma</t>
        </is>
      </c>
      <c r="K13" s="7" t="n">
        <v>42000</v>
      </c>
      <c r="L13" s="7" t="n">
        <v>40000</v>
      </c>
      <c r="M13" s="8" t="n">
        <v>0.06</v>
      </c>
      <c r="N13" s="9" t="n">
        <v>24</v>
      </c>
      <c r="O13" s="9" t="n">
        <v>2</v>
      </c>
      <c r="P13" s="10">
        <f>IF(OR(L13="",M13="",N13=""),"",IFERROR(L13*((M13/12)*(1+M13/12)^N13)/(((1+M13/12)^N13)-1),""))</f>
        <v/>
      </c>
      <c r="Q13" s="10">
        <f>IF(A13="","",IFERROR(P13*N13,""))</f>
        <v/>
      </c>
      <c r="R13" s="9" t="n">
        <v>24</v>
      </c>
      <c r="S13" s="9" t="n">
        <v>0</v>
      </c>
      <c r="T13" s="6" t="n">
        <v>46271</v>
      </c>
      <c r="U13" s="10">
        <f>IF(A13="","",IFERROR(MAX(0,Q13-(R13*P13)),""))</f>
        <v/>
      </c>
      <c r="V13" s="11">
        <f>IF(A13="","",IFERROR(MIN(1,R13/N13),0))</f>
        <v/>
      </c>
      <c r="W13" s="12">
        <f>IF(A13="","",IF(U13&lt;=0,"Quitado",IF(S13&gt;0,"Em atraso",IF(T13="","Sem vencimento",IF(T13&lt;=TODAY()+30,"Vencimento próximo","Em dia")))))</f>
        <v/>
      </c>
      <c r="X13" s="5" t="inlineStr">
        <is>
          <t>Operação quitada conforme controle interno.</t>
        </is>
      </c>
      <c r="Y13" s="12">
        <f>IF(A13="","",IFERROR(VLOOKUP(F13,'Resumo'!$A$16:$D$20,4,FALSE),""))</f>
        <v/>
      </c>
    </row>
    <row r="14">
      <c r="A14" s="4" t="inlineStr">
        <is>
          <t>PRN-2026-010</t>
        </is>
      </c>
      <c r="B14" s="4" t="inlineStr">
        <is>
          <t>01.234.567/0001-89</t>
        </is>
      </c>
      <c r="C14" s="5" t="inlineStr">
        <is>
          <t>Campinas Distribuidora Ltda</t>
        </is>
      </c>
      <c r="D14" s="5" t="inlineStr">
        <is>
          <t>Fernanda Lima</t>
        </is>
      </c>
      <c r="E14" s="4" t="inlineStr">
        <is>
          <t>Campinas/SP</t>
        </is>
      </c>
      <c r="F14" s="4" t="inlineStr">
        <is>
          <t>Sicredi</t>
        </is>
      </c>
      <c r="G14" s="4" t="inlineStr">
        <is>
          <t>Simples Nacional</t>
        </is>
      </c>
      <c r="H14" s="6" t="n">
        <v>46251</v>
      </c>
      <c r="I14" s="6" t="n">
        <v>46265</v>
      </c>
      <c r="J14" s="5" t="inlineStr">
        <is>
          <t>Estoque</t>
        </is>
      </c>
      <c r="K14" s="7" t="n">
        <v>230000</v>
      </c>
      <c r="L14" s="7" t="n">
        <v>220000</v>
      </c>
      <c r="M14" s="8" t="n">
        <v>0.105</v>
      </c>
      <c r="N14" s="9" t="n">
        <v>60</v>
      </c>
      <c r="O14" s="9" t="n">
        <v>6</v>
      </c>
      <c r="P14" s="13">
        <f>IF(OR(L14="",M14="",N14=""),"",IFERROR(L14*((M14/12)*(1+M14/12)^N14)/(((1+M14/12)^N14)-1),""))</f>
        <v/>
      </c>
      <c r="Q14" s="13">
        <f>IF(A14="","",IFERROR(P14*N14,""))</f>
        <v/>
      </c>
      <c r="R14" s="9" t="n">
        <v>8</v>
      </c>
      <c r="S14" s="9" t="n">
        <v>0</v>
      </c>
      <c r="T14" s="6" t="n">
        <v>46301</v>
      </c>
      <c r="U14" s="13">
        <f>IF(A14="","",IFERROR(MAX(0,Q14-(R14*P14)),""))</f>
        <v/>
      </c>
      <c r="V14" s="14">
        <f>IF(A14="","",IFERROR(MIN(1,R14/N14),0))</f>
        <v/>
      </c>
      <c r="W14" s="15">
        <f>IF(A14="","",IF(U14&lt;=0,"Quitado",IF(S14&gt;0,"Em atraso",IF(T14="","Sem vencimento",IF(T14&lt;=TODAY()+30,"Vencimento próximo","Em dia")))))</f>
        <v/>
      </c>
      <c r="X14" s="5" t="inlineStr">
        <is>
          <t>Ampliação planejada do estoque sazonal.</t>
        </is>
      </c>
      <c r="Y14" s="15">
        <f>IF(A14="","",IFERROR(VLOOKUP(F14,'Resumo'!$A$16:$D$20,4,FALSE),""))</f>
        <v/>
      </c>
    </row>
    <row r="15">
      <c r="A15" s="4" t="n"/>
      <c r="B15" s="4" t="n"/>
      <c r="C15" s="5" t="n"/>
      <c r="D15" s="5" t="n"/>
      <c r="E15" s="4" t="n"/>
      <c r="F15" s="4" t="n"/>
      <c r="G15" s="4" t="n"/>
      <c r="H15" s="6" t="n"/>
      <c r="I15" s="6" t="n"/>
      <c r="J15" s="5" t="n"/>
      <c r="K15" s="7" t="n"/>
      <c r="L15" s="7" t="n"/>
      <c r="M15" s="8" t="n"/>
      <c r="N15" s="9" t="n"/>
      <c r="O15" s="9" t="n"/>
      <c r="P15" s="10">
        <f>IF(OR(L15="",M15="",N15=""),"",IFERROR(L15*((M15/12)*(1+M15/12)^N15)/(((1+M15/12)^N15)-1),""))</f>
        <v/>
      </c>
      <c r="Q15" s="10">
        <f>IF(A15="","",IFERROR(P15*N15,""))</f>
        <v/>
      </c>
      <c r="R15" s="9" t="n"/>
      <c r="S15" s="9" t="n"/>
      <c r="T15" s="6" t="n"/>
      <c r="U15" s="10">
        <f>IF(A15="","",IFERROR(MAX(0,Q15-(R15*P15)),""))</f>
        <v/>
      </c>
      <c r="V15" s="11">
        <f>IF(A15="","",IFERROR(MIN(1,R15/N15),0))</f>
        <v/>
      </c>
      <c r="W15" s="12">
        <f>IF(A15="","",IF(U15&lt;=0,"Quitado",IF(S15&gt;0,"Em atraso",IF(T15="","Sem vencimento",IF(T15&lt;=TODAY()+30,"Vencimento próximo","Em dia")))))</f>
        <v/>
      </c>
      <c r="X15" s="5" t="n"/>
      <c r="Y15" s="12">
        <f>IF(A15="","",IFERROR(VLOOKUP(F15,'Resumo'!$A$16:$D$20,4,FALSE),""))</f>
        <v/>
      </c>
    </row>
    <row r="16">
      <c r="A16" s="4" t="n"/>
      <c r="B16" s="4" t="n"/>
      <c r="C16" s="5" t="n"/>
      <c r="D16" s="5" t="n"/>
      <c r="E16" s="4" t="n"/>
      <c r="F16" s="4" t="n"/>
      <c r="G16" s="4" t="n"/>
      <c r="H16" s="6" t="n"/>
      <c r="I16" s="6" t="n"/>
      <c r="J16" s="5" t="n"/>
      <c r="K16" s="7" t="n"/>
      <c r="L16" s="7" t="n"/>
      <c r="M16" s="8" t="n"/>
      <c r="N16" s="9" t="n"/>
      <c r="O16" s="9" t="n"/>
      <c r="P16" s="13">
        <f>IF(OR(L16="",M16="",N16=""),"",IFERROR(L16*((M16/12)*(1+M16/12)^N16)/(((1+M16/12)^N16)-1),""))</f>
        <v/>
      </c>
      <c r="Q16" s="13">
        <f>IF(A16="","",IFERROR(P16*N16,""))</f>
        <v/>
      </c>
      <c r="R16" s="9" t="n"/>
      <c r="S16" s="9" t="n"/>
      <c r="T16" s="6" t="n"/>
      <c r="U16" s="13">
        <f>IF(A16="","",IFERROR(MAX(0,Q16-(R16*P16)),""))</f>
        <v/>
      </c>
      <c r="V16" s="14">
        <f>IF(A16="","",IFERROR(MIN(1,R16/N16),0))</f>
        <v/>
      </c>
      <c r="W16" s="15">
        <f>IF(A16="","",IF(U16&lt;=0,"Quitado",IF(S16&gt;0,"Em atraso",IF(T16="","Sem vencimento",IF(T16&lt;=TODAY()+30,"Vencimento próximo","Em dia")))))</f>
        <v/>
      </c>
      <c r="X16" s="5" t="n"/>
      <c r="Y16" s="15">
        <f>IF(A16="","",IFERROR(VLOOKUP(F16,'Resumo'!$A$16:$D$20,4,FALSE),""))</f>
        <v/>
      </c>
    </row>
    <row r="17">
      <c r="A17" s="4" t="n"/>
      <c r="B17" s="4" t="n"/>
      <c r="C17" s="5" t="n"/>
      <c r="D17" s="5" t="n"/>
      <c r="E17" s="4" t="n"/>
      <c r="F17" s="4" t="n"/>
      <c r="G17" s="4" t="n"/>
      <c r="H17" s="6" t="n"/>
      <c r="I17" s="6" t="n"/>
      <c r="J17" s="5" t="n"/>
      <c r="K17" s="7" t="n"/>
      <c r="L17" s="7" t="n"/>
      <c r="M17" s="8" t="n"/>
      <c r="N17" s="9" t="n"/>
      <c r="O17" s="9" t="n"/>
      <c r="P17" s="10">
        <f>IF(OR(L17="",M17="",N17=""),"",IFERROR(L17*((M17/12)*(1+M17/12)^N17)/(((1+M17/12)^N17)-1),""))</f>
        <v/>
      </c>
      <c r="Q17" s="10">
        <f>IF(A17="","",IFERROR(P17*N17,""))</f>
        <v/>
      </c>
      <c r="R17" s="9" t="n"/>
      <c r="S17" s="9" t="n"/>
      <c r="T17" s="6" t="n"/>
      <c r="U17" s="10">
        <f>IF(A17="","",IFERROR(MAX(0,Q17-(R17*P17)),""))</f>
        <v/>
      </c>
      <c r="V17" s="11">
        <f>IF(A17="","",IFERROR(MIN(1,R17/N17),0))</f>
        <v/>
      </c>
      <c r="W17" s="12">
        <f>IF(A17="","",IF(U17&lt;=0,"Quitado",IF(S17&gt;0,"Em atraso",IF(T17="","Sem vencimento",IF(T17&lt;=TODAY()+30,"Vencimento próximo","Em dia")))))</f>
        <v/>
      </c>
      <c r="X17" s="5" t="n"/>
      <c r="Y17" s="12">
        <f>IF(A17="","",IFERROR(VLOOKUP(F17,'Resumo'!$A$16:$D$20,4,FALSE),""))</f>
        <v/>
      </c>
    </row>
    <row r="18">
      <c r="A18" s="4" t="n"/>
      <c r="B18" s="4" t="n"/>
      <c r="C18" s="5" t="n"/>
      <c r="D18" s="5" t="n"/>
      <c r="E18" s="4" t="n"/>
      <c r="F18" s="4" t="n"/>
      <c r="G18" s="4" t="n"/>
      <c r="H18" s="6" t="n"/>
      <c r="I18" s="6" t="n"/>
      <c r="J18" s="5" t="n"/>
      <c r="K18" s="7" t="n"/>
      <c r="L18" s="7" t="n"/>
      <c r="M18" s="8" t="n"/>
      <c r="N18" s="9" t="n"/>
      <c r="O18" s="9" t="n"/>
      <c r="P18" s="13">
        <f>IF(OR(L18="",M18="",N18=""),"",IFERROR(L18*((M18/12)*(1+M18/12)^N18)/(((1+M18/12)^N18)-1),""))</f>
        <v/>
      </c>
      <c r="Q18" s="13">
        <f>IF(A18="","",IFERROR(P18*N18,""))</f>
        <v/>
      </c>
      <c r="R18" s="9" t="n"/>
      <c r="S18" s="9" t="n"/>
      <c r="T18" s="6" t="n"/>
      <c r="U18" s="13">
        <f>IF(A18="","",IFERROR(MAX(0,Q18-(R18*P18)),""))</f>
        <v/>
      </c>
      <c r="V18" s="14">
        <f>IF(A18="","",IFERROR(MIN(1,R18/N18),0))</f>
        <v/>
      </c>
      <c r="W18" s="15">
        <f>IF(A18="","",IF(U18&lt;=0,"Quitado",IF(S18&gt;0,"Em atraso",IF(T18="","Sem vencimento",IF(T18&lt;=TODAY()+30,"Vencimento próximo","Em dia")))))</f>
        <v/>
      </c>
      <c r="X18" s="5" t="n"/>
      <c r="Y18" s="15">
        <f>IF(A18="","",IFERROR(VLOOKUP(F18,'Resumo'!$A$16:$D$20,4,FALSE),""))</f>
        <v/>
      </c>
    </row>
    <row r="19">
      <c r="A19" s="4" t="n"/>
      <c r="B19" s="4" t="n"/>
      <c r="C19" s="5" t="n"/>
      <c r="D19" s="5" t="n"/>
      <c r="E19" s="4" t="n"/>
      <c r="F19" s="4" t="n"/>
      <c r="G19" s="4" t="n"/>
      <c r="H19" s="6" t="n"/>
      <c r="I19" s="6" t="n"/>
      <c r="J19" s="5" t="n"/>
      <c r="K19" s="7" t="n"/>
      <c r="L19" s="7" t="n"/>
      <c r="M19" s="8" t="n"/>
      <c r="N19" s="9" t="n"/>
      <c r="O19" s="9" t="n"/>
      <c r="P19" s="10">
        <f>IF(OR(L19="",M19="",N19=""),"",IFERROR(L19*((M19/12)*(1+M19/12)^N19)/(((1+M19/12)^N19)-1),""))</f>
        <v/>
      </c>
      <c r="Q19" s="10">
        <f>IF(A19="","",IFERROR(P19*N19,""))</f>
        <v/>
      </c>
      <c r="R19" s="9" t="n"/>
      <c r="S19" s="9" t="n"/>
      <c r="T19" s="6" t="n"/>
      <c r="U19" s="10">
        <f>IF(A19="","",IFERROR(MAX(0,Q19-(R19*P19)),""))</f>
        <v/>
      </c>
      <c r="V19" s="11">
        <f>IF(A19="","",IFERROR(MIN(1,R19/N19),0))</f>
        <v/>
      </c>
      <c r="W19" s="12">
        <f>IF(A19="","",IF(U19&lt;=0,"Quitado",IF(S19&gt;0,"Em atraso",IF(T19="","Sem vencimento",IF(T19&lt;=TODAY()+30,"Vencimento próximo","Em dia")))))</f>
        <v/>
      </c>
      <c r="X19" s="5" t="n"/>
      <c r="Y19" s="12">
        <f>IF(A19="","",IFERROR(VLOOKUP(F19,'Resumo'!$A$16:$D$20,4,FALSE),""))</f>
        <v/>
      </c>
    </row>
    <row r="20">
      <c r="A20" s="4" t="n"/>
      <c r="B20" s="4" t="n"/>
      <c r="C20" s="5" t="n"/>
      <c r="D20" s="5" t="n"/>
      <c r="E20" s="4" t="n"/>
      <c r="F20" s="4" t="n"/>
      <c r="G20" s="4" t="n"/>
      <c r="H20" s="6" t="n"/>
      <c r="I20" s="6" t="n"/>
      <c r="J20" s="5" t="n"/>
      <c r="K20" s="7" t="n"/>
      <c r="L20" s="7" t="n"/>
      <c r="M20" s="8" t="n"/>
      <c r="N20" s="9" t="n"/>
      <c r="O20" s="9" t="n"/>
      <c r="P20" s="13">
        <f>IF(OR(L20="",M20="",N20=""),"",IFERROR(L20*((M20/12)*(1+M20/12)^N20)/(((1+M20/12)^N20)-1),""))</f>
        <v/>
      </c>
      <c r="Q20" s="13">
        <f>IF(A20="","",IFERROR(P20*N20,""))</f>
        <v/>
      </c>
      <c r="R20" s="9" t="n"/>
      <c r="S20" s="9" t="n"/>
      <c r="T20" s="6" t="n"/>
      <c r="U20" s="13">
        <f>IF(A20="","",IFERROR(MAX(0,Q20-(R20*P20)),""))</f>
        <v/>
      </c>
      <c r="V20" s="14">
        <f>IF(A20="","",IFERROR(MIN(1,R20/N20),0))</f>
        <v/>
      </c>
      <c r="W20" s="15">
        <f>IF(A20="","",IF(U20&lt;=0,"Quitado",IF(S20&gt;0,"Em atraso",IF(T20="","Sem vencimento",IF(T20&lt;=TODAY()+30,"Vencimento próximo","Em dia")))))</f>
        <v/>
      </c>
      <c r="X20" s="5" t="n"/>
      <c r="Y20" s="15">
        <f>IF(A20="","",IFERROR(VLOOKUP(F20,'Resumo'!$A$16:$D$20,4,FALSE),""))</f>
        <v/>
      </c>
    </row>
    <row r="21">
      <c r="A21" s="4" t="n"/>
      <c r="B21" s="4" t="n"/>
      <c r="C21" s="5" t="n"/>
      <c r="D21" s="5" t="n"/>
      <c r="E21" s="4" t="n"/>
      <c r="F21" s="4" t="n"/>
      <c r="G21" s="4" t="n"/>
      <c r="H21" s="6" t="n"/>
      <c r="I21" s="6" t="n"/>
      <c r="J21" s="5" t="n"/>
      <c r="K21" s="7" t="n"/>
      <c r="L21" s="7" t="n"/>
      <c r="M21" s="8" t="n"/>
      <c r="N21" s="9" t="n"/>
      <c r="O21" s="9" t="n"/>
      <c r="P21" s="10">
        <f>IF(OR(L21="",M21="",N21=""),"",IFERROR(L21*((M21/12)*(1+M21/12)^N21)/(((1+M21/12)^N21)-1),""))</f>
        <v/>
      </c>
      <c r="Q21" s="10">
        <f>IF(A21="","",IFERROR(P21*N21,""))</f>
        <v/>
      </c>
      <c r="R21" s="9" t="n"/>
      <c r="S21" s="9" t="n"/>
      <c r="T21" s="6" t="n"/>
      <c r="U21" s="10">
        <f>IF(A21="","",IFERROR(MAX(0,Q21-(R21*P21)),""))</f>
        <v/>
      </c>
      <c r="V21" s="11">
        <f>IF(A21="","",IFERROR(MIN(1,R21/N21),0))</f>
        <v/>
      </c>
      <c r="W21" s="12">
        <f>IF(A21="","",IF(U21&lt;=0,"Quitado",IF(S21&gt;0,"Em atraso",IF(T21="","Sem vencimento",IF(T21&lt;=TODAY()+30,"Vencimento próximo","Em dia")))))</f>
        <v/>
      </c>
      <c r="X21" s="5" t="n"/>
      <c r="Y21" s="12">
        <f>IF(A21="","",IFERROR(VLOOKUP(F21,'Resumo'!$A$16:$D$20,4,FALSE),""))</f>
        <v/>
      </c>
    </row>
    <row r="22">
      <c r="A22" s="4" t="n"/>
      <c r="B22" s="4" t="n"/>
      <c r="C22" s="5" t="n"/>
      <c r="D22" s="5" t="n"/>
      <c r="E22" s="4" t="n"/>
      <c r="F22" s="4" t="n"/>
      <c r="G22" s="4" t="n"/>
      <c r="H22" s="6" t="n"/>
      <c r="I22" s="6" t="n"/>
      <c r="J22" s="5" t="n"/>
      <c r="K22" s="7" t="n"/>
      <c r="L22" s="7" t="n"/>
      <c r="M22" s="8" t="n"/>
      <c r="N22" s="9" t="n"/>
      <c r="O22" s="9" t="n"/>
      <c r="P22" s="13">
        <f>IF(OR(L22="",M22="",N22=""),"",IFERROR(L22*((M22/12)*(1+M22/12)^N22)/(((1+M22/12)^N22)-1),""))</f>
        <v/>
      </c>
      <c r="Q22" s="13">
        <f>IF(A22="","",IFERROR(P22*N22,""))</f>
        <v/>
      </c>
      <c r="R22" s="9" t="n"/>
      <c r="S22" s="9" t="n"/>
      <c r="T22" s="6" t="n"/>
      <c r="U22" s="13">
        <f>IF(A22="","",IFERROR(MAX(0,Q22-(R22*P22)),""))</f>
        <v/>
      </c>
      <c r="V22" s="14">
        <f>IF(A22="","",IFERROR(MIN(1,R22/N22),0))</f>
        <v/>
      </c>
      <c r="W22" s="15">
        <f>IF(A22="","",IF(U22&lt;=0,"Quitado",IF(S22&gt;0,"Em atraso",IF(T22="","Sem vencimento",IF(T22&lt;=TODAY()+30,"Vencimento próximo","Em dia")))))</f>
        <v/>
      </c>
      <c r="X22" s="5" t="n"/>
      <c r="Y22" s="15">
        <f>IF(A22="","",IFERROR(VLOOKUP(F22,'Resumo'!$A$16:$D$20,4,FALSE),""))</f>
        <v/>
      </c>
    </row>
    <row r="23">
      <c r="A23" s="4" t="n"/>
      <c r="B23" s="4" t="n"/>
      <c r="C23" s="5" t="n"/>
      <c r="D23" s="5" t="n"/>
      <c r="E23" s="4" t="n"/>
      <c r="F23" s="4" t="n"/>
      <c r="G23" s="4" t="n"/>
      <c r="H23" s="6" t="n"/>
      <c r="I23" s="6" t="n"/>
      <c r="J23" s="5" t="n"/>
      <c r="K23" s="7" t="n"/>
      <c r="L23" s="7" t="n"/>
      <c r="M23" s="8" t="n"/>
      <c r="N23" s="9" t="n"/>
      <c r="O23" s="9" t="n"/>
      <c r="P23" s="10">
        <f>IF(OR(L23="",M23="",N23=""),"",IFERROR(L23*((M23/12)*(1+M23/12)^N23)/(((1+M23/12)^N23)-1),""))</f>
        <v/>
      </c>
      <c r="Q23" s="10">
        <f>IF(A23="","",IFERROR(P23*N23,""))</f>
        <v/>
      </c>
      <c r="R23" s="9" t="n"/>
      <c r="S23" s="9" t="n"/>
      <c r="T23" s="6" t="n"/>
      <c r="U23" s="10">
        <f>IF(A23="","",IFERROR(MAX(0,Q23-(R23*P23)),""))</f>
        <v/>
      </c>
      <c r="V23" s="11">
        <f>IF(A23="","",IFERROR(MIN(1,R23/N23),0))</f>
        <v/>
      </c>
      <c r="W23" s="12">
        <f>IF(A23="","",IF(U23&lt;=0,"Quitado",IF(S23&gt;0,"Em atraso",IF(T23="","Sem vencimento",IF(T23&lt;=TODAY()+30,"Vencimento próximo","Em dia")))))</f>
        <v/>
      </c>
      <c r="X23" s="5" t="n"/>
      <c r="Y23" s="12">
        <f>IF(A23="","",IFERROR(VLOOKUP(F23,'Resumo'!$A$16:$D$20,4,FALSE),""))</f>
        <v/>
      </c>
    </row>
    <row r="24">
      <c r="A24" s="4" t="n"/>
      <c r="B24" s="4" t="n"/>
      <c r="C24" s="5" t="n"/>
      <c r="D24" s="5" t="n"/>
      <c r="E24" s="4" t="n"/>
      <c r="F24" s="4" t="n"/>
      <c r="G24" s="4" t="n"/>
      <c r="H24" s="6" t="n"/>
      <c r="I24" s="6" t="n"/>
      <c r="J24" s="5" t="n"/>
      <c r="K24" s="7" t="n"/>
      <c r="L24" s="7" t="n"/>
      <c r="M24" s="8" t="n"/>
      <c r="N24" s="9" t="n"/>
      <c r="O24" s="9" t="n"/>
      <c r="P24" s="13">
        <f>IF(OR(L24="",M24="",N24=""),"",IFERROR(L24*((M24/12)*(1+M24/12)^N24)/(((1+M24/12)^N24)-1),""))</f>
        <v/>
      </c>
      <c r="Q24" s="13">
        <f>IF(A24="","",IFERROR(P24*N24,""))</f>
        <v/>
      </c>
      <c r="R24" s="9" t="n"/>
      <c r="S24" s="9" t="n"/>
      <c r="T24" s="6" t="n"/>
      <c r="U24" s="13">
        <f>IF(A24="","",IFERROR(MAX(0,Q24-(R24*P24)),""))</f>
        <v/>
      </c>
      <c r="V24" s="14">
        <f>IF(A24="","",IFERROR(MIN(1,R24/N24),0))</f>
        <v/>
      </c>
      <c r="W24" s="15">
        <f>IF(A24="","",IF(U24&lt;=0,"Quitado",IF(S24&gt;0,"Em atraso",IF(T24="","Sem vencimento",IF(T24&lt;=TODAY()+30,"Vencimento próximo","Em dia")))))</f>
        <v/>
      </c>
      <c r="X24" s="5" t="n"/>
      <c r="Y24" s="15">
        <f>IF(A24="","",IFERROR(VLOOKUP(F24,'Resumo'!$A$16:$D$20,4,FALSE),""))</f>
        <v/>
      </c>
    </row>
    <row r="25">
      <c r="A25" s="4" t="n"/>
      <c r="B25" s="4" t="n"/>
      <c r="C25" s="5" t="n"/>
      <c r="D25" s="5" t="n"/>
      <c r="E25" s="4" t="n"/>
      <c r="F25" s="4" t="n"/>
      <c r="G25" s="4" t="n"/>
      <c r="H25" s="6" t="n"/>
      <c r="I25" s="6" t="n"/>
      <c r="J25" s="5" t="n"/>
      <c r="K25" s="7" t="n"/>
      <c r="L25" s="7" t="n"/>
      <c r="M25" s="8" t="n"/>
      <c r="N25" s="9" t="n"/>
      <c r="O25" s="9" t="n"/>
      <c r="P25" s="10">
        <f>IF(OR(L25="",M25="",N25=""),"",IFERROR(L25*((M25/12)*(1+M25/12)^N25)/(((1+M25/12)^N25)-1),""))</f>
        <v/>
      </c>
      <c r="Q25" s="10">
        <f>IF(A25="","",IFERROR(P25*N25,""))</f>
        <v/>
      </c>
      <c r="R25" s="9" t="n"/>
      <c r="S25" s="9" t="n"/>
      <c r="T25" s="6" t="n"/>
      <c r="U25" s="10">
        <f>IF(A25="","",IFERROR(MAX(0,Q25-(R25*P25)),""))</f>
        <v/>
      </c>
      <c r="V25" s="11">
        <f>IF(A25="","",IFERROR(MIN(1,R25/N25),0))</f>
        <v/>
      </c>
      <c r="W25" s="12">
        <f>IF(A25="","",IF(U25&lt;=0,"Quitado",IF(S25&gt;0,"Em atraso",IF(T25="","Sem vencimento",IF(T25&lt;=TODAY()+30,"Vencimento próximo","Em dia")))))</f>
        <v/>
      </c>
      <c r="X25" s="5" t="n"/>
      <c r="Y25" s="12">
        <f>IF(A25="","",IFERROR(VLOOKUP(F25,'Resumo'!$A$16:$D$20,4,FALSE),""))</f>
        <v/>
      </c>
    </row>
    <row r="26">
      <c r="A26" s="4" t="n"/>
      <c r="B26" s="4" t="n"/>
      <c r="C26" s="5" t="n"/>
      <c r="D26" s="5" t="n"/>
      <c r="E26" s="4" t="n"/>
      <c r="F26" s="4" t="n"/>
      <c r="G26" s="4" t="n"/>
      <c r="H26" s="6" t="n"/>
      <c r="I26" s="6" t="n"/>
      <c r="J26" s="5" t="n"/>
      <c r="K26" s="7" t="n"/>
      <c r="L26" s="7" t="n"/>
      <c r="M26" s="8" t="n"/>
      <c r="N26" s="9" t="n"/>
      <c r="O26" s="9" t="n"/>
      <c r="P26" s="13">
        <f>IF(OR(L26="",M26="",N26=""),"",IFERROR(L26*((M26/12)*(1+M26/12)^N26)/(((1+M26/12)^N26)-1),""))</f>
        <v/>
      </c>
      <c r="Q26" s="13">
        <f>IF(A26="","",IFERROR(P26*N26,""))</f>
        <v/>
      </c>
      <c r="R26" s="9" t="n"/>
      <c r="S26" s="9" t="n"/>
      <c r="T26" s="6" t="n"/>
      <c r="U26" s="13">
        <f>IF(A26="","",IFERROR(MAX(0,Q26-(R26*P26)),""))</f>
        <v/>
      </c>
      <c r="V26" s="14">
        <f>IF(A26="","",IFERROR(MIN(1,R26/N26),0))</f>
        <v/>
      </c>
      <c r="W26" s="15">
        <f>IF(A26="","",IF(U26&lt;=0,"Quitado",IF(S26&gt;0,"Em atraso",IF(T26="","Sem vencimento",IF(T26&lt;=TODAY()+30,"Vencimento próximo","Em dia")))))</f>
        <v/>
      </c>
      <c r="X26" s="5" t="n"/>
      <c r="Y26" s="15">
        <f>IF(A26="","",IFERROR(VLOOKUP(F26,'Resumo'!$A$16:$D$20,4,FALSE),""))</f>
        <v/>
      </c>
    </row>
    <row r="27">
      <c r="A27" s="4" t="n"/>
      <c r="B27" s="4" t="n"/>
      <c r="C27" s="5" t="n"/>
      <c r="D27" s="5" t="n"/>
      <c r="E27" s="4" t="n"/>
      <c r="F27" s="4" t="n"/>
      <c r="G27" s="4" t="n"/>
      <c r="H27" s="6" t="n"/>
      <c r="I27" s="6" t="n"/>
      <c r="J27" s="5" t="n"/>
      <c r="K27" s="7" t="n"/>
      <c r="L27" s="7" t="n"/>
      <c r="M27" s="8" t="n"/>
      <c r="N27" s="9" t="n"/>
      <c r="O27" s="9" t="n"/>
      <c r="P27" s="10">
        <f>IF(OR(L27="",M27="",N27=""),"",IFERROR(L27*((M27/12)*(1+M27/12)^N27)/(((1+M27/12)^N27)-1),""))</f>
        <v/>
      </c>
      <c r="Q27" s="10">
        <f>IF(A27="","",IFERROR(P27*N27,""))</f>
        <v/>
      </c>
      <c r="R27" s="9" t="n"/>
      <c r="S27" s="9" t="n"/>
      <c r="T27" s="6" t="n"/>
      <c r="U27" s="10">
        <f>IF(A27="","",IFERROR(MAX(0,Q27-(R27*P27)),""))</f>
        <v/>
      </c>
      <c r="V27" s="11">
        <f>IF(A27="","",IFERROR(MIN(1,R27/N27),0))</f>
        <v/>
      </c>
      <c r="W27" s="12">
        <f>IF(A27="","",IF(U27&lt;=0,"Quitado",IF(S27&gt;0,"Em atraso",IF(T27="","Sem vencimento",IF(T27&lt;=TODAY()+30,"Vencimento próximo","Em dia")))))</f>
        <v/>
      </c>
      <c r="X27" s="5" t="n"/>
      <c r="Y27" s="12">
        <f>IF(A27="","",IFERROR(VLOOKUP(F27,'Resumo'!$A$16:$D$20,4,FALSE),""))</f>
        <v/>
      </c>
    </row>
    <row r="28">
      <c r="A28" s="4" t="n"/>
      <c r="B28" s="4" t="n"/>
      <c r="C28" s="5" t="n"/>
      <c r="D28" s="5" t="n"/>
      <c r="E28" s="4" t="n"/>
      <c r="F28" s="4" t="n"/>
      <c r="G28" s="4" t="n"/>
      <c r="H28" s="6" t="n"/>
      <c r="I28" s="6" t="n"/>
      <c r="J28" s="5" t="n"/>
      <c r="K28" s="7" t="n"/>
      <c r="L28" s="7" t="n"/>
      <c r="M28" s="8" t="n"/>
      <c r="N28" s="9" t="n"/>
      <c r="O28" s="9" t="n"/>
      <c r="P28" s="13">
        <f>IF(OR(L28="",M28="",N28=""),"",IFERROR(L28*((M28/12)*(1+M28/12)^N28)/(((1+M28/12)^N28)-1),""))</f>
        <v/>
      </c>
      <c r="Q28" s="13">
        <f>IF(A28="","",IFERROR(P28*N28,""))</f>
        <v/>
      </c>
      <c r="R28" s="9" t="n"/>
      <c r="S28" s="9" t="n"/>
      <c r="T28" s="6" t="n"/>
      <c r="U28" s="13">
        <f>IF(A28="","",IFERROR(MAX(0,Q28-(R28*P28)),""))</f>
        <v/>
      </c>
      <c r="V28" s="14">
        <f>IF(A28="","",IFERROR(MIN(1,R28/N28),0))</f>
        <v/>
      </c>
      <c r="W28" s="15">
        <f>IF(A28="","",IF(U28&lt;=0,"Quitado",IF(S28&gt;0,"Em atraso",IF(T28="","Sem vencimento",IF(T28&lt;=TODAY()+30,"Vencimento próximo","Em dia")))))</f>
        <v/>
      </c>
      <c r="X28" s="5" t="n"/>
      <c r="Y28" s="15">
        <f>IF(A28="","",IFERROR(VLOOKUP(F28,'Resumo'!$A$16:$D$20,4,FALSE),""))</f>
        <v/>
      </c>
    </row>
    <row r="29">
      <c r="A29" s="4" t="n"/>
      <c r="B29" s="4" t="n"/>
      <c r="C29" s="5" t="n"/>
      <c r="D29" s="5" t="n"/>
      <c r="E29" s="4" t="n"/>
      <c r="F29" s="4" t="n"/>
      <c r="G29" s="4" t="n"/>
      <c r="H29" s="6" t="n"/>
      <c r="I29" s="6" t="n"/>
      <c r="J29" s="5" t="n"/>
      <c r="K29" s="7" t="n"/>
      <c r="L29" s="7" t="n"/>
      <c r="M29" s="8" t="n"/>
      <c r="N29" s="9" t="n"/>
      <c r="O29" s="9" t="n"/>
      <c r="P29" s="10">
        <f>IF(OR(L29="",M29="",N29=""),"",IFERROR(L29*((M29/12)*(1+M29/12)^N29)/(((1+M29/12)^N29)-1),""))</f>
        <v/>
      </c>
      <c r="Q29" s="10">
        <f>IF(A29="","",IFERROR(P29*N29,""))</f>
        <v/>
      </c>
      <c r="R29" s="9" t="n"/>
      <c r="S29" s="9" t="n"/>
      <c r="T29" s="6" t="n"/>
      <c r="U29" s="10">
        <f>IF(A29="","",IFERROR(MAX(0,Q29-(R29*P29)),""))</f>
        <v/>
      </c>
      <c r="V29" s="11">
        <f>IF(A29="","",IFERROR(MIN(1,R29/N29),0))</f>
        <v/>
      </c>
      <c r="W29" s="12">
        <f>IF(A29="","",IF(U29&lt;=0,"Quitado",IF(S29&gt;0,"Em atraso",IF(T29="","Sem vencimento",IF(T29&lt;=TODAY()+30,"Vencimento próximo","Em dia")))))</f>
        <v/>
      </c>
      <c r="X29" s="5" t="n"/>
      <c r="Y29" s="12">
        <f>IF(A29="","",IFERROR(VLOOKUP(F29,'Resumo'!$A$16:$D$20,4,FALSE),""))</f>
        <v/>
      </c>
    </row>
    <row r="30">
      <c r="A30" s="4" t="n"/>
      <c r="B30" s="4" t="n"/>
      <c r="C30" s="5" t="n"/>
      <c r="D30" s="5" t="n"/>
      <c r="E30" s="4" t="n"/>
      <c r="F30" s="4" t="n"/>
      <c r="G30" s="4" t="n"/>
      <c r="H30" s="6" t="n"/>
      <c r="I30" s="6" t="n"/>
      <c r="J30" s="5" t="n"/>
      <c r="K30" s="7" t="n"/>
      <c r="L30" s="7" t="n"/>
      <c r="M30" s="8" t="n"/>
      <c r="N30" s="9" t="n"/>
      <c r="O30" s="9" t="n"/>
      <c r="P30" s="13">
        <f>IF(OR(L30="",M30="",N30=""),"",IFERROR(L30*((M30/12)*(1+M30/12)^N30)/(((1+M30/12)^N30)-1),""))</f>
        <v/>
      </c>
      <c r="Q30" s="13">
        <f>IF(A30="","",IFERROR(P30*N30,""))</f>
        <v/>
      </c>
      <c r="R30" s="9" t="n"/>
      <c r="S30" s="9" t="n"/>
      <c r="T30" s="6" t="n"/>
      <c r="U30" s="13">
        <f>IF(A30="","",IFERROR(MAX(0,Q30-(R30*P30)),""))</f>
        <v/>
      </c>
      <c r="V30" s="14">
        <f>IF(A30="","",IFERROR(MIN(1,R30/N30),0))</f>
        <v/>
      </c>
      <c r="W30" s="15">
        <f>IF(A30="","",IF(U30&lt;=0,"Quitado",IF(S30&gt;0,"Em atraso",IF(T30="","Sem vencimento",IF(T30&lt;=TODAY()+30,"Vencimento próximo","Em dia")))))</f>
        <v/>
      </c>
      <c r="X30" s="5" t="n"/>
      <c r="Y30" s="15">
        <f>IF(A30="","",IFERROR(VLOOKUP(F30,'Resumo'!$A$16:$D$20,4,FALSE),""))</f>
        <v/>
      </c>
    </row>
    <row r="31">
      <c r="A31" s="4" t="n"/>
      <c r="B31" s="4" t="n"/>
      <c r="C31" s="5" t="n"/>
      <c r="D31" s="5" t="n"/>
      <c r="E31" s="4" t="n"/>
      <c r="F31" s="4" t="n"/>
      <c r="G31" s="4" t="n"/>
      <c r="H31" s="6" t="n"/>
      <c r="I31" s="6" t="n"/>
      <c r="J31" s="5" t="n"/>
      <c r="K31" s="7" t="n"/>
      <c r="L31" s="7" t="n"/>
      <c r="M31" s="8" t="n"/>
      <c r="N31" s="9" t="n"/>
      <c r="O31" s="9" t="n"/>
      <c r="P31" s="10">
        <f>IF(OR(L31="",M31="",N31=""),"",IFERROR(L31*((M31/12)*(1+M31/12)^N31)/(((1+M31/12)^N31)-1),""))</f>
        <v/>
      </c>
      <c r="Q31" s="10">
        <f>IF(A31="","",IFERROR(P31*N31,""))</f>
        <v/>
      </c>
      <c r="R31" s="9" t="n"/>
      <c r="S31" s="9" t="n"/>
      <c r="T31" s="6" t="n"/>
      <c r="U31" s="10">
        <f>IF(A31="","",IFERROR(MAX(0,Q31-(R31*P31)),""))</f>
        <v/>
      </c>
      <c r="V31" s="11">
        <f>IF(A31="","",IFERROR(MIN(1,R31/N31),0))</f>
        <v/>
      </c>
      <c r="W31" s="12">
        <f>IF(A31="","",IF(U31&lt;=0,"Quitado",IF(S31&gt;0,"Em atraso",IF(T31="","Sem vencimento",IF(T31&lt;=TODAY()+30,"Vencimento próximo","Em dia")))))</f>
        <v/>
      </c>
      <c r="X31" s="5" t="n"/>
      <c r="Y31" s="12">
        <f>IF(A31="","",IFERROR(VLOOKUP(F31,'Resumo'!$A$16:$D$20,4,FALSE),""))</f>
        <v/>
      </c>
    </row>
    <row r="32">
      <c r="A32" s="4" t="n"/>
      <c r="B32" s="4" t="n"/>
      <c r="C32" s="5" t="n"/>
      <c r="D32" s="5" t="n"/>
      <c r="E32" s="4" t="n"/>
      <c r="F32" s="4" t="n"/>
      <c r="G32" s="4" t="n"/>
      <c r="H32" s="6" t="n"/>
      <c r="I32" s="6" t="n"/>
      <c r="J32" s="5" t="n"/>
      <c r="K32" s="7" t="n"/>
      <c r="L32" s="7" t="n"/>
      <c r="M32" s="8" t="n"/>
      <c r="N32" s="9" t="n"/>
      <c r="O32" s="9" t="n"/>
      <c r="P32" s="13">
        <f>IF(OR(L32="",M32="",N32=""),"",IFERROR(L32*((M32/12)*(1+M32/12)^N32)/(((1+M32/12)^N32)-1),""))</f>
        <v/>
      </c>
      <c r="Q32" s="13">
        <f>IF(A32="","",IFERROR(P32*N32,""))</f>
        <v/>
      </c>
      <c r="R32" s="9" t="n"/>
      <c r="S32" s="9" t="n"/>
      <c r="T32" s="6" t="n"/>
      <c r="U32" s="13">
        <f>IF(A32="","",IFERROR(MAX(0,Q32-(R32*P32)),""))</f>
        <v/>
      </c>
      <c r="V32" s="14">
        <f>IF(A32="","",IFERROR(MIN(1,R32/N32),0))</f>
        <v/>
      </c>
      <c r="W32" s="15">
        <f>IF(A32="","",IF(U32&lt;=0,"Quitado",IF(S32&gt;0,"Em atraso",IF(T32="","Sem vencimento",IF(T32&lt;=TODAY()+30,"Vencimento próximo","Em dia")))))</f>
        <v/>
      </c>
      <c r="X32" s="5" t="n"/>
      <c r="Y32" s="15">
        <f>IF(A32="","",IFERROR(VLOOKUP(F32,'Resumo'!$A$16:$D$20,4,FALSE),""))</f>
        <v/>
      </c>
    </row>
    <row r="33">
      <c r="A33" s="4" t="n"/>
      <c r="B33" s="4" t="n"/>
      <c r="C33" s="5" t="n"/>
      <c r="D33" s="5" t="n"/>
      <c r="E33" s="4" t="n"/>
      <c r="F33" s="4" t="n"/>
      <c r="G33" s="4" t="n"/>
      <c r="H33" s="6" t="n"/>
      <c r="I33" s="6" t="n"/>
      <c r="J33" s="5" t="n"/>
      <c r="K33" s="7" t="n"/>
      <c r="L33" s="7" t="n"/>
      <c r="M33" s="8" t="n"/>
      <c r="N33" s="9" t="n"/>
      <c r="O33" s="9" t="n"/>
      <c r="P33" s="10">
        <f>IF(OR(L33="",M33="",N33=""),"",IFERROR(L33*((M33/12)*(1+M33/12)^N33)/(((1+M33/12)^N33)-1),""))</f>
        <v/>
      </c>
      <c r="Q33" s="10">
        <f>IF(A33="","",IFERROR(P33*N33,""))</f>
        <v/>
      </c>
      <c r="R33" s="9" t="n"/>
      <c r="S33" s="9" t="n"/>
      <c r="T33" s="6" t="n"/>
      <c r="U33" s="10">
        <f>IF(A33="","",IFERROR(MAX(0,Q33-(R33*P33)),""))</f>
        <v/>
      </c>
      <c r="V33" s="11">
        <f>IF(A33="","",IFERROR(MIN(1,R33/N33),0))</f>
        <v/>
      </c>
      <c r="W33" s="12">
        <f>IF(A33="","",IF(U33&lt;=0,"Quitado",IF(S33&gt;0,"Em atraso",IF(T33="","Sem vencimento",IF(T33&lt;=TODAY()+30,"Vencimento próximo","Em dia")))))</f>
        <v/>
      </c>
      <c r="X33" s="5" t="n"/>
      <c r="Y33" s="12">
        <f>IF(A33="","",IFERROR(VLOOKUP(F33,'Resumo'!$A$16:$D$20,4,FALSE),""))</f>
        <v/>
      </c>
    </row>
    <row r="34">
      <c r="A34" s="4" t="n"/>
      <c r="B34" s="4" t="n"/>
      <c r="C34" s="5" t="n"/>
      <c r="D34" s="5" t="n"/>
      <c r="E34" s="4" t="n"/>
      <c r="F34" s="4" t="n"/>
      <c r="G34" s="4" t="n"/>
      <c r="H34" s="6" t="n"/>
      <c r="I34" s="6" t="n"/>
      <c r="J34" s="5" t="n"/>
      <c r="K34" s="7" t="n"/>
      <c r="L34" s="7" t="n"/>
      <c r="M34" s="8" t="n"/>
      <c r="N34" s="9" t="n"/>
      <c r="O34" s="9" t="n"/>
      <c r="P34" s="13">
        <f>IF(OR(L34="",M34="",N34=""),"",IFERROR(L34*((M34/12)*(1+M34/12)^N34)/(((1+M34/12)^N34)-1),""))</f>
        <v/>
      </c>
      <c r="Q34" s="13">
        <f>IF(A34="","",IFERROR(P34*N34,""))</f>
        <v/>
      </c>
      <c r="R34" s="9" t="n"/>
      <c r="S34" s="9" t="n"/>
      <c r="T34" s="6" t="n"/>
      <c r="U34" s="13">
        <f>IF(A34="","",IFERROR(MAX(0,Q34-(R34*P34)),""))</f>
        <v/>
      </c>
      <c r="V34" s="14">
        <f>IF(A34="","",IFERROR(MIN(1,R34/N34),0))</f>
        <v/>
      </c>
      <c r="W34" s="15">
        <f>IF(A34="","",IF(U34&lt;=0,"Quitado",IF(S34&gt;0,"Em atraso",IF(T34="","Sem vencimento",IF(T34&lt;=TODAY()+30,"Vencimento próximo","Em dia")))))</f>
        <v/>
      </c>
      <c r="X34" s="5" t="n"/>
      <c r="Y34" s="15">
        <f>IF(A34="","",IFERROR(VLOOKUP(F34,'Resumo'!$A$16:$D$20,4,FALSE),""))</f>
        <v/>
      </c>
    </row>
    <row r="35">
      <c r="A35" s="4" t="n"/>
      <c r="B35" s="4" t="n"/>
      <c r="C35" s="5" t="n"/>
      <c r="D35" s="5" t="n"/>
      <c r="E35" s="4" t="n"/>
      <c r="F35" s="4" t="n"/>
      <c r="G35" s="4" t="n"/>
      <c r="H35" s="6" t="n"/>
      <c r="I35" s="6" t="n"/>
      <c r="J35" s="5" t="n"/>
      <c r="K35" s="7" t="n"/>
      <c r="L35" s="7" t="n"/>
      <c r="M35" s="8" t="n"/>
      <c r="N35" s="9" t="n"/>
      <c r="O35" s="9" t="n"/>
      <c r="P35" s="10">
        <f>IF(OR(L35="",M35="",N35=""),"",IFERROR(L35*((M35/12)*(1+M35/12)^N35)/(((1+M35/12)^N35)-1),""))</f>
        <v/>
      </c>
      <c r="Q35" s="10">
        <f>IF(A35="","",IFERROR(P35*N35,""))</f>
        <v/>
      </c>
      <c r="R35" s="9" t="n"/>
      <c r="S35" s="9" t="n"/>
      <c r="T35" s="6" t="n"/>
      <c r="U35" s="10">
        <f>IF(A35="","",IFERROR(MAX(0,Q35-(R35*P35)),""))</f>
        <v/>
      </c>
      <c r="V35" s="11">
        <f>IF(A35="","",IFERROR(MIN(1,R35/N35),0))</f>
        <v/>
      </c>
      <c r="W35" s="12">
        <f>IF(A35="","",IF(U35&lt;=0,"Quitado",IF(S35&gt;0,"Em atraso",IF(T35="","Sem vencimento",IF(T35&lt;=TODAY()+30,"Vencimento próximo","Em dia")))))</f>
        <v/>
      </c>
      <c r="X35" s="5" t="n"/>
      <c r="Y35" s="12">
        <f>IF(A35="","",IFERROR(VLOOKUP(F35,'Resumo'!$A$16:$D$20,4,FALSE),""))</f>
        <v/>
      </c>
    </row>
    <row r="36">
      <c r="A36" s="4" t="n"/>
      <c r="B36" s="4" t="n"/>
      <c r="C36" s="5" t="n"/>
      <c r="D36" s="5" t="n"/>
      <c r="E36" s="4" t="n"/>
      <c r="F36" s="4" t="n"/>
      <c r="G36" s="4" t="n"/>
      <c r="H36" s="6" t="n"/>
      <c r="I36" s="6" t="n"/>
      <c r="J36" s="5" t="n"/>
      <c r="K36" s="7" t="n"/>
      <c r="L36" s="7" t="n"/>
      <c r="M36" s="8" t="n"/>
      <c r="N36" s="9" t="n"/>
      <c r="O36" s="9" t="n"/>
      <c r="P36" s="13">
        <f>IF(OR(L36="",M36="",N36=""),"",IFERROR(L36*((M36/12)*(1+M36/12)^N36)/(((1+M36/12)^N36)-1),""))</f>
        <v/>
      </c>
      <c r="Q36" s="13">
        <f>IF(A36="","",IFERROR(P36*N36,""))</f>
        <v/>
      </c>
      <c r="R36" s="9" t="n"/>
      <c r="S36" s="9" t="n"/>
      <c r="T36" s="6" t="n"/>
      <c r="U36" s="13">
        <f>IF(A36="","",IFERROR(MAX(0,Q36-(R36*P36)),""))</f>
        <v/>
      </c>
      <c r="V36" s="14">
        <f>IF(A36="","",IFERROR(MIN(1,R36/N36),0))</f>
        <v/>
      </c>
      <c r="W36" s="15">
        <f>IF(A36="","",IF(U36&lt;=0,"Quitado",IF(S36&gt;0,"Em atraso",IF(T36="","Sem vencimento",IF(T36&lt;=TODAY()+30,"Vencimento próximo","Em dia")))))</f>
        <v/>
      </c>
      <c r="X36" s="5" t="n"/>
      <c r="Y36" s="15">
        <f>IF(A36="","",IFERROR(VLOOKUP(F36,'Resumo'!$A$16:$D$20,4,FALSE),""))</f>
        <v/>
      </c>
    </row>
    <row r="37">
      <c r="A37" s="4" t="n"/>
      <c r="B37" s="4" t="n"/>
      <c r="C37" s="5" t="n"/>
      <c r="D37" s="5" t="n"/>
      <c r="E37" s="4" t="n"/>
      <c r="F37" s="4" t="n"/>
      <c r="G37" s="4" t="n"/>
      <c r="H37" s="6" t="n"/>
      <c r="I37" s="6" t="n"/>
      <c r="J37" s="5" t="n"/>
      <c r="K37" s="7" t="n"/>
      <c r="L37" s="7" t="n"/>
      <c r="M37" s="8" t="n"/>
      <c r="N37" s="9" t="n"/>
      <c r="O37" s="9" t="n"/>
      <c r="P37" s="10">
        <f>IF(OR(L37="",M37="",N37=""),"",IFERROR(L37*((M37/12)*(1+M37/12)^N37)/(((1+M37/12)^N37)-1),""))</f>
        <v/>
      </c>
      <c r="Q37" s="10">
        <f>IF(A37="","",IFERROR(P37*N37,""))</f>
        <v/>
      </c>
      <c r="R37" s="9" t="n"/>
      <c r="S37" s="9" t="n"/>
      <c r="T37" s="6" t="n"/>
      <c r="U37" s="10">
        <f>IF(A37="","",IFERROR(MAX(0,Q37-(R37*P37)),""))</f>
        <v/>
      </c>
      <c r="V37" s="11">
        <f>IF(A37="","",IFERROR(MIN(1,R37/N37),0))</f>
        <v/>
      </c>
      <c r="W37" s="12">
        <f>IF(A37="","",IF(U37&lt;=0,"Quitado",IF(S37&gt;0,"Em atraso",IF(T37="","Sem vencimento",IF(T37&lt;=TODAY()+30,"Vencimento próximo","Em dia")))))</f>
        <v/>
      </c>
      <c r="X37" s="5" t="n"/>
      <c r="Y37" s="12">
        <f>IF(A37="","",IFERROR(VLOOKUP(F37,'Resumo'!$A$16:$D$20,4,FALSE),""))</f>
        <v/>
      </c>
    </row>
    <row r="38">
      <c r="A38" s="4" t="n"/>
      <c r="B38" s="4" t="n"/>
      <c r="C38" s="5" t="n"/>
      <c r="D38" s="5" t="n"/>
      <c r="E38" s="4" t="n"/>
      <c r="F38" s="4" t="n"/>
      <c r="G38" s="4" t="n"/>
      <c r="H38" s="6" t="n"/>
      <c r="I38" s="6" t="n"/>
      <c r="J38" s="5" t="n"/>
      <c r="K38" s="7" t="n"/>
      <c r="L38" s="7" t="n"/>
      <c r="M38" s="8" t="n"/>
      <c r="N38" s="9" t="n"/>
      <c r="O38" s="9" t="n"/>
      <c r="P38" s="13">
        <f>IF(OR(L38="",M38="",N38=""),"",IFERROR(L38*((M38/12)*(1+M38/12)^N38)/(((1+M38/12)^N38)-1),""))</f>
        <v/>
      </c>
      <c r="Q38" s="13">
        <f>IF(A38="","",IFERROR(P38*N38,""))</f>
        <v/>
      </c>
      <c r="R38" s="9" t="n"/>
      <c r="S38" s="9" t="n"/>
      <c r="T38" s="6" t="n"/>
      <c r="U38" s="13">
        <f>IF(A38="","",IFERROR(MAX(0,Q38-(R38*P38)),""))</f>
        <v/>
      </c>
      <c r="V38" s="14">
        <f>IF(A38="","",IFERROR(MIN(1,R38/N38),0))</f>
        <v/>
      </c>
      <c r="W38" s="15">
        <f>IF(A38="","",IF(U38&lt;=0,"Quitado",IF(S38&gt;0,"Em atraso",IF(T38="","Sem vencimento",IF(T38&lt;=TODAY()+30,"Vencimento próximo","Em dia")))))</f>
        <v/>
      </c>
      <c r="X38" s="5" t="n"/>
      <c r="Y38" s="15">
        <f>IF(A38="","",IFERROR(VLOOKUP(F38,'Resumo'!$A$16:$D$20,4,FALSE),""))</f>
        <v/>
      </c>
    </row>
    <row r="39">
      <c r="A39" s="4" t="n"/>
      <c r="B39" s="4" t="n"/>
      <c r="C39" s="5" t="n"/>
      <c r="D39" s="5" t="n"/>
      <c r="E39" s="4" t="n"/>
      <c r="F39" s="4" t="n"/>
      <c r="G39" s="4" t="n"/>
      <c r="H39" s="6" t="n"/>
      <c r="I39" s="6" t="n"/>
      <c r="J39" s="5" t="n"/>
      <c r="K39" s="7" t="n"/>
      <c r="L39" s="7" t="n"/>
      <c r="M39" s="8" t="n"/>
      <c r="N39" s="9" t="n"/>
      <c r="O39" s="9" t="n"/>
      <c r="P39" s="10">
        <f>IF(OR(L39="",M39="",N39=""),"",IFERROR(L39*((M39/12)*(1+M39/12)^N39)/(((1+M39/12)^N39)-1),""))</f>
        <v/>
      </c>
      <c r="Q39" s="10">
        <f>IF(A39="","",IFERROR(P39*N39,""))</f>
        <v/>
      </c>
      <c r="R39" s="9" t="n"/>
      <c r="S39" s="9" t="n"/>
      <c r="T39" s="6" t="n"/>
      <c r="U39" s="10">
        <f>IF(A39="","",IFERROR(MAX(0,Q39-(R39*P39)),""))</f>
        <v/>
      </c>
      <c r="V39" s="11">
        <f>IF(A39="","",IFERROR(MIN(1,R39/N39),0))</f>
        <v/>
      </c>
      <c r="W39" s="12">
        <f>IF(A39="","",IF(U39&lt;=0,"Quitado",IF(S39&gt;0,"Em atraso",IF(T39="","Sem vencimento",IF(T39&lt;=TODAY()+30,"Vencimento próximo","Em dia")))))</f>
        <v/>
      </c>
      <c r="X39" s="5" t="n"/>
      <c r="Y39" s="12">
        <f>IF(A39="","",IFERROR(VLOOKUP(F39,'Resumo'!$A$16:$D$20,4,FALSE),""))</f>
        <v/>
      </c>
    </row>
    <row r="40">
      <c r="A40" s="4" t="n"/>
      <c r="B40" s="4" t="n"/>
      <c r="C40" s="5" t="n"/>
      <c r="D40" s="5" t="n"/>
      <c r="E40" s="4" t="n"/>
      <c r="F40" s="4" t="n"/>
      <c r="G40" s="4" t="n"/>
      <c r="H40" s="6" t="n"/>
      <c r="I40" s="6" t="n"/>
      <c r="J40" s="5" t="n"/>
      <c r="K40" s="7" t="n"/>
      <c r="L40" s="7" t="n"/>
      <c r="M40" s="8" t="n"/>
      <c r="N40" s="9" t="n"/>
      <c r="O40" s="9" t="n"/>
      <c r="P40" s="13">
        <f>IF(OR(L40="",M40="",N40=""),"",IFERROR(L40*((M40/12)*(1+M40/12)^N40)/(((1+M40/12)^N40)-1),""))</f>
        <v/>
      </c>
      <c r="Q40" s="13">
        <f>IF(A40="","",IFERROR(P40*N40,""))</f>
        <v/>
      </c>
      <c r="R40" s="9" t="n"/>
      <c r="S40" s="9" t="n"/>
      <c r="T40" s="6" t="n"/>
      <c r="U40" s="13">
        <f>IF(A40="","",IFERROR(MAX(0,Q40-(R40*P40)),""))</f>
        <v/>
      </c>
      <c r="V40" s="14">
        <f>IF(A40="","",IFERROR(MIN(1,R40/N40),0))</f>
        <v/>
      </c>
      <c r="W40" s="15">
        <f>IF(A40="","",IF(U40&lt;=0,"Quitado",IF(S40&gt;0,"Em atraso",IF(T40="","Sem vencimento",IF(T40&lt;=TODAY()+30,"Vencimento próximo","Em dia")))))</f>
        <v/>
      </c>
      <c r="X40" s="5" t="n"/>
      <c r="Y40" s="15">
        <f>IF(A40="","",IFERROR(VLOOKUP(F40,'Resumo'!$A$16:$D$20,4,FALSE),""))</f>
        <v/>
      </c>
    </row>
    <row r="41">
      <c r="A41" s="4" t="n"/>
      <c r="B41" s="4" t="n"/>
      <c r="C41" s="5" t="n"/>
      <c r="D41" s="5" t="n"/>
      <c r="E41" s="4" t="n"/>
      <c r="F41" s="4" t="n"/>
      <c r="G41" s="4" t="n"/>
      <c r="H41" s="6" t="n"/>
      <c r="I41" s="6" t="n"/>
      <c r="J41" s="5" t="n"/>
      <c r="K41" s="7" t="n"/>
      <c r="L41" s="7" t="n"/>
      <c r="M41" s="8" t="n"/>
      <c r="N41" s="9" t="n"/>
      <c r="O41" s="9" t="n"/>
      <c r="P41" s="10">
        <f>IF(OR(L41="",M41="",N41=""),"",IFERROR(L41*((M41/12)*(1+M41/12)^N41)/(((1+M41/12)^N41)-1),""))</f>
        <v/>
      </c>
      <c r="Q41" s="10">
        <f>IF(A41="","",IFERROR(P41*N41,""))</f>
        <v/>
      </c>
      <c r="R41" s="9" t="n"/>
      <c r="S41" s="9" t="n"/>
      <c r="T41" s="6" t="n"/>
      <c r="U41" s="10">
        <f>IF(A41="","",IFERROR(MAX(0,Q41-(R41*P41)),""))</f>
        <v/>
      </c>
      <c r="V41" s="11">
        <f>IF(A41="","",IFERROR(MIN(1,R41/N41),0))</f>
        <v/>
      </c>
      <c r="W41" s="12">
        <f>IF(A41="","",IF(U41&lt;=0,"Quitado",IF(S41&gt;0,"Em atraso",IF(T41="","Sem vencimento",IF(T41&lt;=TODAY()+30,"Vencimento próximo","Em dia")))))</f>
        <v/>
      </c>
      <c r="X41" s="5" t="n"/>
      <c r="Y41" s="12">
        <f>IF(A41="","",IFERROR(VLOOKUP(F41,'Resumo'!$A$16:$D$20,4,FALSE),""))</f>
        <v/>
      </c>
    </row>
    <row r="42">
      <c r="A42" s="4" t="n"/>
      <c r="B42" s="4" t="n"/>
      <c r="C42" s="5" t="n"/>
      <c r="D42" s="5" t="n"/>
      <c r="E42" s="4" t="n"/>
      <c r="F42" s="4" t="n"/>
      <c r="G42" s="4" t="n"/>
      <c r="H42" s="6" t="n"/>
      <c r="I42" s="6" t="n"/>
      <c r="J42" s="5" t="n"/>
      <c r="K42" s="7" t="n"/>
      <c r="L42" s="7" t="n"/>
      <c r="M42" s="8" t="n"/>
      <c r="N42" s="9" t="n"/>
      <c r="O42" s="9" t="n"/>
      <c r="P42" s="13">
        <f>IF(OR(L42="",M42="",N42=""),"",IFERROR(L42*((M42/12)*(1+M42/12)^N42)/(((1+M42/12)^N42)-1),""))</f>
        <v/>
      </c>
      <c r="Q42" s="13">
        <f>IF(A42="","",IFERROR(P42*N42,""))</f>
        <v/>
      </c>
      <c r="R42" s="9" t="n"/>
      <c r="S42" s="9" t="n"/>
      <c r="T42" s="6" t="n"/>
      <c r="U42" s="13">
        <f>IF(A42="","",IFERROR(MAX(0,Q42-(R42*P42)),""))</f>
        <v/>
      </c>
      <c r="V42" s="14">
        <f>IF(A42="","",IFERROR(MIN(1,R42/N42),0))</f>
        <v/>
      </c>
      <c r="W42" s="15">
        <f>IF(A42="","",IF(U42&lt;=0,"Quitado",IF(S42&gt;0,"Em atraso",IF(T42="","Sem vencimento",IF(T42&lt;=TODAY()+30,"Vencimento próximo","Em dia")))))</f>
        <v/>
      </c>
      <c r="X42" s="5" t="n"/>
      <c r="Y42" s="15">
        <f>IF(A42="","",IFERROR(VLOOKUP(F42,'Resumo'!$A$16:$D$20,4,FALSE),""))</f>
        <v/>
      </c>
    </row>
    <row r="43">
      <c r="A43" s="4" t="n"/>
      <c r="B43" s="4" t="n"/>
      <c r="C43" s="5" t="n"/>
      <c r="D43" s="5" t="n"/>
      <c r="E43" s="4" t="n"/>
      <c r="F43" s="4" t="n"/>
      <c r="G43" s="4" t="n"/>
      <c r="H43" s="6" t="n"/>
      <c r="I43" s="6" t="n"/>
      <c r="J43" s="5" t="n"/>
      <c r="K43" s="7" t="n"/>
      <c r="L43" s="7" t="n"/>
      <c r="M43" s="8" t="n"/>
      <c r="N43" s="9" t="n"/>
      <c r="O43" s="9" t="n"/>
      <c r="P43" s="10">
        <f>IF(OR(L43="",M43="",N43=""),"",IFERROR(L43*((M43/12)*(1+M43/12)^N43)/(((1+M43/12)^N43)-1),""))</f>
        <v/>
      </c>
      <c r="Q43" s="10">
        <f>IF(A43="","",IFERROR(P43*N43,""))</f>
        <v/>
      </c>
      <c r="R43" s="9" t="n"/>
      <c r="S43" s="9" t="n"/>
      <c r="T43" s="6" t="n"/>
      <c r="U43" s="10">
        <f>IF(A43="","",IFERROR(MAX(0,Q43-(R43*P43)),""))</f>
        <v/>
      </c>
      <c r="V43" s="11">
        <f>IF(A43="","",IFERROR(MIN(1,R43/N43),0))</f>
        <v/>
      </c>
      <c r="W43" s="12">
        <f>IF(A43="","",IF(U43&lt;=0,"Quitado",IF(S43&gt;0,"Em atraso",IF(T43="","Sem vencimento",IF(T43&lt;=TODAY()+30,"Vencimento próximo","Em dia")))))</f>
        <v/>
      </c>
      <c r="X43" s="5" t="n"/>
      <c r="Y43" s="12">
        <f>IF(A43="","",IFERROR(VLOOKUP(F43,'Resumo'!$A$16:$D$20,4,FALSE),""))</f>
        <v/>
      </c>
    </row>
    <row r="44">
      <c r="A44" s="4" t="n"/>
      <c r="B44" s="4" t="n"/>
      <c r="C44" s="5" t="n"/>
      <c r="D44" s="5" t="n"/>
      <c r="E44" s="4" t="n"/>
      <c r="F44" s="4" t="n"/>
      <c r="G44" s="4" t="n"/>
      <c r="H44" s="6" t="n"/>
      <c r="I44" s="6" t="n"/>
      <c r="J44" s="5" t="n"/>
      <c r="K44" s="7" t="n"/>
      <c r="L44" s="7" t="n"/>
      <c r="M44" s="8" t="n"/>
      <c r="N44" s="9" t="n"/>
      <c r="O44" s="9" t="n"/>
      <c r="P44" s="13">
        <f>IF(OR(L44="",M44="",N44=""),"",IFERROR(L44*((M44/12)*(1+M44/12)^N44)/(((1+M44/12)^N44)-1),""))</f>
        <v/>
      </c>
      <c r="Q44" s="13">
        <f>IF(A44="","",IFERROR(P44*N44,""))</f>
        <v/>
      </c>
      <c r="R44" s="9" t="n"/>
      <c r="S44" s="9" t="n"/>
      <c r="T44" s="6" t="n"/>
      <c r="U44" s="13">
        <f>IF(A44="","",IFERROR(MAX(0,Q44-(R44*P44)),""))</f>
        <v/>
      </c>
      <c r="V44" s="14">
        <f>IF(A44="","",IFERROR(MIN(1,R44/N44),0))</f>
        <v/>
      </c>
      <c r="W44" s="15">
        <f>IF(A44="","",IF(U44&lt;=0,"Quitado",IF(S44&gt;0,"Em atraso",IF(T44="","Sem vencimento",IF(T44&lt;=TODAY()+30,"Vencimento próximo","Em dia")))))</f>
        <v/>
      </c>
      <c r="X44" s="5" t="n"/>
      <c r="Y44" s="15">
        <f>IF(A44="","",IFERROR(VLOOKUP(F44,'Resumo'!$A$16:$D$20,4,FALSE),""))</f>
        <v/>
      </c>
    </row>
    <row r="45">
      <c r="A45" s="4" t="n"/>
      <c r="B45" s="4" t="n"/>
      <c r="C45" s="5" t="n"/>
      <c r="D45" s="5" t="n"/>
      <c r="E45" s="4" t="n"/>
      <c r="F45" s="4" t="n"/>
      <c r="G45" s="4" t="n"/>
      <c r="H45" s="6" t="n"/>
      <c r="I45" s="6" t="n"/>
      <c r="J45" s="5" t="n"/>
      <c r="K45" s="7" t="n"/>
      <c r="L45" s="7" t="n"/>
      <c r="M45" s="8" t="n"/>
      <c r="N45" s="9" t="n"/>
      <c r="O45" s="9" t="n"/>
      <c r="P45" s="10">
        <f>IF(OR(L45="",M45="",N45=""),"",IFERROR(L45*((M45/12)*(1+M45/12)^N45)/(((1+M45/12)^N45)-1),""))</f>
        <v/>
      </c>
      <c r="Q45" s="10">
        <f>IF(A45="","",IFERROR(P45*N45,""))</f>
        <v/>
      </c>
      <c r="R45" s="9" t="n"/>
      <c r="S45" s="9" t="n"/>
      <c r="T45" s="6" t="n"/>
      <c r="U45" s="10">
        <f>IF(A45="","",IFERROR(MAX(0,Q45-(R45*P45)),""))</f>
        <v/>
      </c>
      <c r="V45" s="11">
        <f>IF(A45="","",IFERROR(MIN(1,R45/N45),0))</f>
        <v/>
      </c>
      <c r="W45" s="12">
        <f>IF(A45="","",IF(U45&lt;=0,"Quitado",IF(S45&gt;0,"Em atraso",IF(T45="","Sem vencimento",IF(T45&lt;=TODAY()+30,"Vencimento próximo","Em dia")))))</f>
        <v/>
      </c>
      <c r="X45" s="5" t="n"/>
      <c r="Y45" s="12">
        <f>IF(A45="","",IFERROR(VLOOKUP(F45,'Resumo'!$A$16:$D$20,4,FALSE),""))</f>
        <v/>
      </c>
    </row>
    <row r="46">
      <c r="A46" s="4" t="n"/>
      <c r="B46" s="4" t="n"/>
      <c r="C46" s="5" t="n"/>
      <c r="D46" s="5" t="n"/>
      <c r="E46" s="4" t="n"/>
      <c r="F46" s="4" t="n"/>
      <c r="G46" s="4" t="n"/>
      <c r="H46" s="6" t="n"/>
      <c r="I46" s="6" t="n"/>
      <c r="J46" s="5" t="n"/>
      <c r="K46" s="7" t="n"/>
      <c r="L46" s="7" t="n"/>
      <c r="M46" s="8" t="n"/>
      <c r="N46" s="9" t="n"/>
      <c r="O46" s="9" t="n"/>
      <c r="P46" s="13">
        <f>IF(OR(L46="",M46="",N46=""),"",IFERROR(L46*((M46/12)*(1+M46/12)^N46)/(((1+M46/12)^N46)-1),""))</f>
        <v/>
      </c>
      <c r="Q46" s="13">
        <f>IF(A46="","",IFERROR(P46*N46,""))</f>
        <v/>
      </c>
      <c r="R46" s="9" t="n"/>
      <c r="S46" s="9" t="n"/>
      <c r="T46" s="6" t="n"/>
      <c r="U46" s="13">
        <f>IF(A46="","",IFERROR(MAX(0,Q46-(R46*P46)),""))</f>
        <v/>
      </c>
      <c r="V46" s="14">
        <f>IF(A46="","",IFERROR(MIN(1,R46/N46),0))</f>
        <v/>
      </c>
      <c r="W46" s="15">
        <f>IF(A46="","",IF(U46&lt;=0,"Quitado",IF(S46&gt;0,"Em atraso",IF(T46="","Sem vencimento",IF(T46&lt;=TODAY()+30,"Vencimento próximo","Em dia")))))</f>
        <v/>
      </c>
      <c r="X46" s="5" t="n"/>
      <c r="Y46" s="15">
        <f>IF(A46="","",IFERROR(VLOOKUP(F46,'Resumo'!$A$16:$D$20,4,FALSE),""))</f>
        <v/>
      </c>
    </row>
    <row r="47">
      <c r="A47" s="4" t="n"/>
      <c r="B47" s="4" t="n"/>
      <c r="C47" s="5" t="n"/>
      <c r="D47" s="5" t="n"/>
      <c r="E47" s="4" t="n"/>
      <c r="F47" s="4" t="n"/>
      <c r="G47" s="4" t="n"/>
      <c r="H47" s="6" t="n"/>
      <c r="I47" s="6" t="n"/>
      <c r="J47" s="5" t="n"/>
      <c r="K47" s="7" t="n"/>
      <c r="L47" s="7" t="n"/>
      <c r="M47" s="8" t="n"/>
      <c r="N47" s="9" t="n"/>
      <c r="O47" s="9" t="n"/>
      <c r="P47" s="10">
        <f>IF(OR(L47="",M47="",N47=""),"",IFERROR(L47*((M47/12)*(1+M47/12)^N47)/(((1+M47/12)^N47)-1),""))</f>
        <v/>
      </c>
      <c r="Q47" s="10">
        <f>IF(A47="","",IFERROR(P47*N47,""))</f>
        <v/>
      </c>
      <c r="R47" s="9" t="n"/>
      <c r="S47" s="9" t="n"/>
      <c r="T47" s="6" t="n"/>
      <c r="U47" s="10">
        <f>IF(A47="","",IFERROR(MAX(0,Q47-(R47*P47)),""))</f>
        <v/>
      </c>
      <c r="V47" s="11">
        <f>IF(A47="","",IFERROR(MIN(1,R47/N47),0))</f>
        <v/>
      </c>
      <c r="W47" s="12">
        <f>IF(A47="","",IF(U47&lt;=0,"Quitado",IF(S47&gt;0,"Em atraso",IF(T47="","Sem vencimento",IF(T47&lt;=TODAY()+30,"Vencimento próximo","Em dia")))))</f>
        <v/>
      </c>
      <c r="X47" s="5" t="n"/>
      <c r="Y47" s="12">
        <f>IF(A47="","",IFERROR(VLOOKUP(F47,'Resumo'!$A$16:$D$20,4,FALSE),""))</f>
        <v/>
      </c>
    </row>
    <row r="48">
      <c r="A48" s="4" t="n"/>
      <c r="B48" s="4" t="n"/>
      <c r="C48" s="5" t="n"/>
      <c r="D48" s="5" t="n"/>
      <c r="E48" s="4" t="n"/>
      <c r="F48" s="4" t="n"/>
      <c r="G48" s="4" t="n"/>
      <c r="H48" s="6" t="n"/>
      <c r="I48" s="6" t="n"/>
      <c r="J48" s="5" t="n"/>
      <c r="K48" s="7" t="n"/>
      <c r="L48" s="7" t="n"/>
      <c r="M48" s="8" t="n"/>
      <c r="N48" s="9" t="n"/>
      <c r="O48" s="9" t="n"/>
      <c r="P48" s="13">
        <f>IF(OR(L48="",M48="",N48=""),"",IFERROR(L48*((M48/12)*(1+M48/12)^N48)/(((1+M48/12)^N48)-1),""))</f>
        <v/>
      </c>
      <c r="Q48" s="13">
        <f>IF(A48="","",IFERROR(P48*N48,""))</f>
        <v/>
      </c>
      <c r="R48" s="9" t="n"/>
      <c r="S48" s="9" t="n"/>
      <c r="T48" s="6" t="n"/>
      <c r="U48" s="13">
        <f>IF(A48="","",IFERROR(MAX(0,Q48-(R48*P48)),""))</f>
        <v/>
      </c>
      <c r="V48" s="14">
        <f>IF(A48="","",IFERROR(MIN(1,R48/N48),0))</f>
        <v/>
      </c>
      <c r="W48" s="15">
        <f>IF(A48="","",IF(U48&lt;=0,"Quitado",IF(S48&gt;0,"Em atraso",IF(T48="","Sem vencimento",IF(T48&lt;=TODAY()+30,"Vencimento próximo","Em dia")))))</f>
        <v/>
      </c>
      <c r="X48" s="5" t="n"/>
      <c r="Y48" s="15">
        <f>IF(A48="","",IFERROR(VLOOKUP(F48,'Resumo'!$A$16:$D$20,4,FALSE),""))</f>
        <v/>
      </c>
    </row>
    <row r="49">
      <c r="A49" s="4" t="n"/>
      <c r="B49" s="4" t="n"/>
      <c r="C49" s="5" t="n"/>
      <c r="D49" s="5" t="n"/>
      <c r="E49" s="4" t="n"/>
      <c r="F49" s="4" t="n"/>
      <c r="G49" s="4" t="n"/>
      <c r="H49" s="6" t="n"/>
      <c r="I49" s="6" t="n"/>
      <c r="J49" s="5" t="n"/>
      <c r="K49" s="7" t="n"/>
      <c r="L49" s="7" t="n"/>
      <c r="M49" s="8" t="n"/>
      <c r="N49" s="9" t="n"/>
      <c r="O49" s="9" t="n"/>
      <c r="P49" s="10">
        <f>IF(OR(L49="",M49="",N49=""),"",IFERROR(L49*((M49/12)*(1+M49/12)^N49)/(((1+M49/12)^N49)-1),""))</f>
        <v/>
      </c>
      <c r="Q49" s="10">
        <f>IF(A49="","",IFERROR(P49*N49,""))</f>
        <v/>
      </c>
      <c r="R49" s="9" t="n"/>
      <c r="S49" s="9" t="n"/>
      <c r="T49" s="6" t="n"/>
      <c r="U49" s="10">
        <f>IF(A49="","",IFERROR(MAX(0,Q49-(R49*P49)),""))</f>
        <v/>
      </c>
      <c r="V49" s="11">
        <f>IF(A49="","",IFERROR(MIN(1,R49/N49),0))</f>
        <v/>
      </c>
      <c r="W49" s="12">
        <f>IF(A49="","",IF(U49&lt;=0,"Quitado",IF(S49&gt;0,"Em atraso",IF(T49="","Sem vencimento",IF(T49&lt;=TODAY()+30,"Vencimento próximo","Em dia")))))</f>
        <v/>
      </c>
      <c r="X49" s="5" t="n"/>
      <c r="Y49" s="12">
        <f>IF(A49="","",IFERROR(VLOOKUP(F49,'Resumo'!$A$16:$D$20,4,FALSE),""))</f>
        <v/>
      </c>
    </row>
    <row r="50">
      <c r="A50" s="4" t="n"/>
      <c r="B50" s="4" t="n"/>
      <c r="C50" s="5" t="n"/>
      <c r="D50" s="5" t="n"/>
      <c r="E50" s="4" t="n"/>
      <c r="F50" s="4" t="n"/>
      <c r="G50" s="4" t="n"/>
      <c r="H50" s="6" t="n"/>
      <c r="I50" s="6" t="n"/>
      <c r="J50" s="5" t="n"/>
      <c r="K50" s="7" t="n"/>
      <c r="L50" s="7" t="n"/>
      <c r="M50" s="8" t="n"/>
      <c r="N50" s="9" t="n"/>
      <c r="O50" s="9" t="n"/>
      <c r="P50" s="13">
        <f>IF(OR(L50="",M50="",N50=""),"",IFERROR(L50*((M50/12)*(1+M50/12)^N50)/(((1+M50/12)^N50)-1),""))</f>
        <v/>
      </c>
      <c r="Q50" s="13">
        <f>IF(A50="","",IFERROR(P50*N50,""))</f>
        <v/>
      </c>
      <c r="R50" s="9" t="n"/>
      <c r="S50" s="9" t="n"/>
      <c r="T50" s="6" t="n"/>
      <c r="U50" s="13">
        <f>IF(A50="","",IFERROR(MAX(0,Q50-(R50*P50)),""))</f>
        <v/>
      </c>
      <c r="V50" s="14">
        <f>IF(A50="","",IFERROR(MIN(1,R50/N50),0))</f>
        <v/>
      </c>
      <c r="W50" s="15">
        <f>IF(A50="","",IF(U50&lt;=0,"Quitado",IF(S50&gt;0,"Em atraso",IF(T50="","Sem vencimento",IF(T50&lt;=TODAY()+30,"Vencimento próximo","Em dia")))))</f>
        <v/>
      </c>
      <c r="X50" s="5" t="n"/>
      <c r="Y50" s="15">
        <f>IF(A50="","",IFERROR(VLOOKUP(F50,'Resumo'!$A$16:$D$20,4,FALSE),""))</f>
        <v/>
      </c>
    </row>
    <row r="51">
      <c r="A51" s="4" t="n"/>
      <c r="B51" s="4" t="n"/>
      <c r="C51" s="5" t="n"/>
      <c r="D51" s="5" t="n"/>
      <c r="E51" s="4" t="n"/>
      <c r="F51" s="4" t="n"/>
      <c r="G51" s="4" t="n"/>
      <c r="H51" s="6" t="n"/>
      <c r="I51" s="6" t="n"/>
      <c r="J51" s="5" t="n"/>
      <c r="K51" s="7" t="n"/>
      <c r="L51" s="7" t="n"/>
      <c r="M51" s="8" t="n"/>
      <c r="N51" s="9" t="n"/>
      <c r="O51" s="9" t="n"/>
      <c r="P51" s="10">
        <f>IF(OR(L51="",M51="",N51=""),"",IFERROR(L51*((M51/12)*(1+M51/12)^N51)/(((1+M51/12)^N51)-1),""))</f>
        <v/>
      </c>
      <c r="Q51" s="10">
        <f>IF(A51="","",IFERROR(P51*N51,""))</f>
        <v/>
      </c>
      <c r="R51" s="9" t="n"/>
      <c r="S51" s="9" t="n"/>
      <c r="T51" s="6" t="n"/>
      <c r="U51" s="10">
        <f>IF(A51="","",IFERROR(MAX(0,Q51-(R51*P51)),""))</f>
        <v/>
      </c>
      <c r="V51" s="11">
        <f>IF(A51="","",IFERROR(MIN(1,R51/N51),0))</f>
        <v/>
      </c>
      <c r="W51" s="12">
        <f>IF(A51="","",IF(U51&lt;=0,"Quitado",IF(S51&gt;0,"Em atraso",IF(T51="","Sem vencimento",IF(T51&lt;=TODAY()+30,"Vencimento próximo","Em dia")))))</f>
        <v/>
      </c>
      <c r="X51" s="5" t="n"/>
      <c r="Y51" s="12">
        <f>IF(A51="","",IFERROR(VLOOKUP(F51,'Resumo'!$A$16:$D$20,4,FALSE),""))</f>
        <v/>
      </c>
    </row>
    <row r="52">
      <c r="A52" s="4" t="n"/>
      <c r="B52" s="4" t="n"/>
      <c r="C52" s="5" t="n"/>
      <c r="D52" s="5" t="n"/>
      <c r="E52" s="4" t="n"/>
      <c r="F52" s="4" t="n"/>
      <c r="G52" s="4" t="n"/>
      <c r="H52" s="6" t="n"/>
      <c r="I52" s="6" t="n"/>
      <c r="J52" s="5" t="n"/>
      <c r="K52" s="7" t="n"/>
      <c r="L52" s="7" t="n"/>
      <c r="M52" s="8" t="n"/>
      <c r="N52" s="9" t="n"/>
      <c r="O52" s="9" t="n"/>
      <c r="P52" s="13">
        <f>IF(OR(L52="",M52="",N52=""),"",IFERROR(L52*((M52/12)*(1+M52/12)^N52)/(((1+M52/12)^N52)-1),""))</f>
        <v/>
      </c>
      <c r="Q52" s="13">
        <f>IF(A52="","",IFERROR(P52*N52,""))</f>
        <v/>
      </c>
      <c r="R52" s="9" t="n"/>
      <c r="S52" s="9" t="n"/>
      <c r="T52" s="6" t="n"/>
      <c r="U52" s="13">
        <f>IF(A52="","",IFERROR(MAX(0,Q52-(R52*P52)),""))</f>
        <v/>
      </c>
      <c r="V52" s="14">
        <f>IF(A52="","",IFERROR(MIN(1,R52/N52),0))</f>
        <v/>
      </c>
      <c r="W52" s="15">
        <f>IF(A52="","",IF(U52&lt;=0,"Quitado",IF(S52&gt;0,"Em atraso",IF(T52="","Sem vencimento",IF(T52&lt;=TODAY()+30,"Vencimento próximo","Em dia")))))</f>
        <v/>
      </c>
      <c r="X52" s="5" t="n"/>
      <c r="Y52" s="15">
        <f>IF(A52="","",IFERROR(VLOOKUP(F52,'Resumo'!$A$16:$D$20,4,FALSE),""))</f>
        <v/>
      </c>
    </row>
    <row r="53">
      <c r="A53" s="4" t="n"/>
      <c r="B53" s="4" t="n"/>
      <c r="C53" s="5" t="n"/>
      <c r="D53" s="5" t="n"/>
      <c r="E53" s="4" t="n"/>
      <c r="F53" s="4" t="n"/>
      <c r="G53" s="4" t="n"/>
      <c r="H53" s="6" t="n"/>
      <c r="I53" s="6" t="n"/>
      <c r="J53" s="5" t="n"/>
      <c r="K53" s="7" t="n"/>
      <c r="L53" s="7" t="n"/>
      <c r="M53" s="8" t="n"/>
      <c r="N53" s="9" t="n"/>
      <c r="O53" s="9" t="n"/>
      <c r="P53" s="10">
        <f>IF(OR(L53="",M53="",N53=""),"",IFERROR(L53*((M53/12)*(1+M53/12)^N53)/(((1+M53/12)^N53)-1),""))</f>
        <v/>
      </c>
      <c r="Q53" s="10">
        <f>IF(A53="","",IFERROR(P53*N53,""))</f>
        <v/>
      </c>
      <c r="R53" s="9" t="n"/>
      <c r="S53" s="9" t="n"/>
      <c r="T53" s="6" t="n"/>
      <c r="U53" s="10">
        <f>IF(A53="","",IFERROR(MAX(0,Q53-(R53*P53)),""))</f>
        <v/>
      </c>
      <c r="V53" s="11">
        <f>IF(A53="","",IFERROR(MIN(1,R53/N53),0))</f>
        <v/>
      </c>
      <c r="W53" s="12">
        <f>IF(A53="","",IF(U53&lt;=0,"Quitado",IF(S53&gt;0,"Em atraso",IF(T53="","Sem vencimento",IF(T53&lt;=TODAY()+30,"Vencimento próximo","Em dia")))))</f>
        <v/>
      </c>
      <c r="X53" s="5" t="n"/>
      <c r="Y53" s="12">
        <f>IF(A53="","",IFERROR(VLOOKUP(F53,'Resumo'!$A$16:$D$20,4,FALSE),""))</f>
        <v/>
      </c>
    </row>
    <row r="54">
      <c r="A54" s="4" t="n"/>
      <c r="B54" s="4" t="n"/>
      <c r="C54" s="5" t="n"/>
      <c r="D54" s="5" t="n"/>
      <c r="E54" s="4" t="n"/>
      <c r="F54" s="4" t="n"/>
      <c r="G54" s="4" t="n"/>
      <c r="H54" s="6" t="n"/>
      <c r="I54" s="6" t="n"/>
      <c r="J54" s="5" t="n"/>
      <c r="K54" s="7" t="n"/>
      <c r="L54" s="7" t="n"/>
      <c r="M54" s="8" t="n"/>
      <c r="N54" s="9" t="n"/>
      <c r="O54" s="9" t="n"/>
      <c r="P54" s="13">
        <f>IF(OR(L54="",M54="",N54=""),"",IFERROR(L54*((M54/12)*(1+M54/12)^N54)/(((1+M54/12)^N54)-1),""))</f>
        <v/>
      </c>
      <c r="Q54" s="13">
        <f>IF(A54="","",IFERROR(P54*N54,""))</f>
        <v/>
      </c>
      <c r="R54" s="9" t="n"/>
      <c r="S54" s="9" t="n"/>
      <c r="T54" s="6" t="n"/>
      <c r="U54" s="13">
        <f>IF(A54="","",IFERROR(MAX(0,Q54-(R54*P54)),""))</f>
        <v/>
      </c>
      <c r="V54" s="14">
        <f>IF(A54="","",IFERROR(MIN(1,R54/N54),0))</f>
        <v/>
      </c>
      <c r="W54" s="15">
        <f>IF(A54="","",IF(U54&lt;=0,"Quitado",IF(S54&gt;0,"Em atraso",IF(T54="","Sem vencimento",IF(T54&lt;=TODAY()+30,"Vencimento próximo","Em dia")))))</f>
        <v/>
      </c>
      <c r="X54" s="5" t="n"/>
      <c r="Y54" s="15">
        <f>IF(A54="","",IFERROR(VLOOKUP(F54,'Resumo'!$A$16:$D$20,4,FALSE),""))</f>
        <v/>
      </c>
    </row>
    <row r="55">
      <c r="A55" s="4" t="n"/>
      <c r="B55" s="4" t="n"/>
      <c r="C55" s="5" t="n"/>
      <c r="D55" s="5" t="n"/>
      <c r="E55" s="4" t="n"/>
      <c r="F55" s="4" t="n"/>
      <c r="G55" s="4" t="n"/>
      <c r="H55" s="6" t="n"/>
      <c r="I55" s="6" t="n"/>
      <c r="J55" s="5" t="n"/>
      <c r="K55" s="7" t="n"/>
      <c r="L55" s="7" t="n"/>
      <c r="M55" s="8" t="n"/>
      <c r="N55" s="9" t="n"/>
      <c r="O55" s="9" t="n"/>
      <c r="P55" s="10">
        <f>IF(OR(L55="",M55="",N55=""),"",IFERROR(L55*((M55/12)*(1+M55/12)^N55)/(((1+M55/12)^N55)-1),""))</f>
        <v/>
      </c>
      <c r="Q55" s="10">
        <f>IF(A55="","",IFERROR(P55*N55,""))</f>
        <v/>
      </c>
      <c r="R55" s="9" t="n"/>
      <c r="S55" s="9" t="n"/>
      <c r="T55" s="6" t="n"/>
      <c r="U55" s="10">
        <f>IF(A55="","",IFERROR(MAX(0,Q55-(R55*P55)),""))</f>
        <v/>
      </c>
      <c r="V55" s="11">
        <f>IF(A55="","",IFERROR(MIN(1,R55/N55),0))</f>
        <v/>
      </c>
      <c r="W55" s="12">
        <f>IF(A55="","",IF(U55&lt;=0,"Quitado",IF(S55&gt;0,"Em atraso",IF(T55="","Sem vencimento",IF(T55&lt;=TODAY()+30,"Vencimento próximo","Em dia")))))</f>
        <v/>
      </c>
      <c r="X55" s="5" t="n"/>
      <c r="Y55" s="12">
        <f>IF(A55="","",IFERROR(VLOOKUP(F55,'Resumo'!$A$16:$D$20,4,FALSE),""))</f>
        <v/>
      </c>
    </row>
    <row r="56">
      <c r="A56" s="4" t="n"/>
      <c r="B56" s="4" t="n"/>
      <c r="C56" s="5" t="n"/>
      <c r="D56" s="5" t="n"/>
      <c r="E56" s="4" t="n"/>
      <c r="F56" s="4" t="n"/>
      <c r="G56" s="4" t="n"/>
      <c r="H56" s="6" t="n"/>
      <c r="I56" s="6" t="n"/>
      <c r="J56" s="5" t="n"/>
      <c r="K56" s="7" t="n"/>
      <c r="L56" s="7" t="n"/>
      <c r="M56" s="8" t="n"/>
      <c r="N56" s="9" t="n"/>
      <c r="O56" s="9" t="n"/>
      <c r="P56" s="13">
        <f>IF(OR(L56="",M56="",N56=""),"",IFERROR(L56*((M56/12)*(1+M56/12)^N56)/(((1+M56/12)^N56)-1),""))</f>
        <v/>
      </c>
      <c r="Q56" s="13">
        <f>IF(A56="","",IFERROR(P56*N56,""))</f>
        <v/>
      </c>
      <c r="R56" s="9" t="n"/>
      <c r="S56" s="9" t="n"/>
      <c r="T56" s="6" t="n"/>
      <c r="U56" s="13">
        <f>IF(A56="","",IFERROR(MAX(0,Q56-(R56*P56)),""))</f>
        <v/>
      </c>
      <c r="V56" s="14">
        <f>IF(A56="","",IFERROR(MIN(1,R56/N56),0))</f>
        <v/>
      </c>
      <c r="W56" s="15">
        <f>IF(A56="","",IF(U56&lt;=0,"Quitado",IF(S56&gt;0,"Em atraso",IF(T56="","Sem vencimento",IF(T56&lt;=TODAY()+30,"Vencimento próximo","Em dia")))))</f>
        <v/>
      </c>
      <c r="X56" s="5" t="n"/>
      <c r="Y56" s="15">
        <f>IF(A56="","",IFERROR(VLOOKUP(F56,'Resumo'!$A$16:$D$20,4,FALSE),""))</f>
        <v/>
      </c>
    </row>
    <row r="57">
      <c r="A57" s="4" t="n"/>
      <c r="B57" s="4" t="n"/>
      <c r="C57" s="5" t="n"/>
      <c r="D57" s="5" t="n"/>
      <c r="E57" s="4" t="n"/>
      <c r="F57" s="4" t="n"/>
      <c r="G57" s="4" t="n"/>
      <c r="H57" s="6" t="n"/>
      <c r="I57" s="6" t="n"/>
      <c r="J57" s="5" t="n"/>
      <c r="K57" s="7" t="n"/>
      <c r="L57" s="7" t="n"/>
      <c r="M57" s="8" t="n"/>
      <c r="N57" s="9" t="n"/>
      <c r="O57" s="9" t="n"/>
      <c r="P57" s="10">
        <f>IF(OR(L57="",M57="",N57=""),"",IFERROR(L57*((M57/12)*(1+M57/12)^N57)/(((1+M57/12)^N57)-1),""))</f>
        <v/>
      </c>
      <c r="Q57" s="10">
        <f>IF(A57="","",IFERROR(P57*N57,""))</f>
        <v/>
      </c>
      <c r="R57" s="9" t="n"/>
      <c r="S57" s="9" t="n"/>
      <c r="T57" s="6" t="n"/>
      <c r="U57" s="10">
        <f>IF(A57="","",IFERROR(MAX(0,Q57-(R57*P57)),""))</f>
        <v/>
      </c>
      <c r="V57" s="11">
        <f>IF(A57="","",IFERROR(MIN(1,R57/N57),0))</f>
        <v/>
      </c>
      <c r="W57" s="12">
        <f>IF(A57="","",IF(U57&lt;=0,"Quitado",IF(S57&gt;0,"Em atraso",IF(T57="","Sem vencimento",IF(T57&lt;=TODAY()+30,"Vencimento próximo","Em dia")))))</f>
        <v/>
      </c>
      <c r="X57" s="5" t="n"/>
      <c r="Y57" s="12">
        <f>IF(A57="","",IFERROR(VLOOKUP(F57,'Resumo'!$A$16:$D$20,4,FALSE),""))</f>
        <v/>
      </c>
    </row>
    <row r="58">
      <c r="A58" s="4" t="n"/>
      <c r="B58" s="4" t="n"/>
      <c r="C58" s="5" t="n"/>
      <c r="D58" s="5" t="n"/>
      <c r="E58" s="4" t="n"/>
      <c r="F58" s="4" t="n"/>
      <c r="G58" s="4" t="n"/>
      <c r="H58" s="6" t="n"/>
      <c r="I58" s="6" t="n"/>
      <c r="J58" s="5" t="n"/>
      <c r="K58" s="7" t="n"/>
      <c r="L58" s="7" t="n"/>
      <c r="M58" s="8" t="n"/>
      <c r="N58" s="9" t="n"/>
      <c r="O58" s="9" t="n"/>
      <c r="P58" s="13">
        <f>IF(OR(L58="",M58="",N58=""),"",IFERROR(L58*((M58/12)*(1+M58/12)^N58)/(((1+M58/12)^N58)-1),""))</f>
        <v/>
      </c>
      <c r="Q58" s="13">
        <f>IF(A58="","",IFERROR(P58*N58,""))</f>
        <v/>
      </c>
      <c r="R58" s="9" t="n"/>
      <c r="S58" s="9" t="n"/>
      <c r="T58" s="6" t="n"/>
      <c r="U58" s="13">
        <f>IF(A58="","",IFERROR(MAX(0,Q58-(R58*P58)),""))</f>
        <v/>
      </c>
      <c r="V58" s="14">
        <f>IF(A58="","",IFERROR(MIN(1,R58/N58),0))</f>
        <v/>
      </c>
      <c r="W58" s="15">
        <f>IF(A58="","",IF(U58&lt;=0,"Quitado",IF(S58&gt;0,"Em atraso",IF(T58="","Sem vencimento",IF(T58&lt;=TODAY()+30,"Vencimento próximo","Em dia")))))</f>
        <v/>
      </c>
      <c r="X58" s="5" t="n"/>
      <c r="Y58" s="15">
        <f>IF(A58="","",IFERROR(VLOOKUP(F58,'Resumo'!$A$16:$D$20,4,FALSE),""))</f>
        <v/>
      </c>
    </row>
    <row r="59">
      <c r="A59" s="4" t="n"/>
      <c r="B59" s="4" t="n"/>
      <c r="C59" s="5" t="n"/>
      <c r="D59" s="5" t="n"/>
      <c r="E59" s="4" t="n"/>
      <c r="F59" s="4" t="n"/>
      <c r="G59" s="4" t="n"/>
      <c r="H59" s="6" t="n"/>
      <c r="I59" s="6" t="n"/>
      <c r="J59" s="5" t="n"/>
      <c r="K59" s="7" t="n"/>
      <c r="L59" s="7" t="n"/>
      <c r="M59" s="8" t="n"/>
      <c r="N59" s="9" t="n"/>
      <c r="O59" s="9" t="n"/>
      <c r="P59" s="10">
        <f>IF(OR(L59="",M59="",N59=""),"",IFERROR(L59*((M59/12)*(1+M59/12)^N59)/(((1+M59/12)^N59)-1),""))</f>
        <v/>
      </c>
      <c r="Q59" s="10">
        <f>IF(A59="","",IFERROR(P59*N59,""))</f>
        <v/>
      </c>
      <c r="R59" s="9" t="n"/>
      <c r="S59" s="9" t="n"/>
      <c r="T59" s="6" t="n"/>
      <c r="U59" s="10">
        <f>IF(A59="","",IFERROR(MAX(0,Q59-(R59*P59)),""))</f>
        <v/>
      </c>
      <c r="V59" s="11">
        <f>IF(A59="","",IFERROR(MIN(1,R59/N59),0))</f>
        <v/>
      </c>
      <c r="W59" s="12">
        <f>IF(A59="","",IF(U59&lt;=0,"Quitado",IF(S59&gt;0,"Em atraso",IF(T59="","Sem vencimento",IF(T59&lt;=TODAY()+30,"Vencimento próximo","Em dia")))))</f>
        <v/>
      </c>
      <c r="X59" s="5" t="n"/>
      <c r="Y59" s="12">
        <f>IF(A59="","",IFERROR(VLOOKUP(F59,'Resumo'!$A$16:$D$20,4,FALSE),""))</f>
        <v/>
      </c>
    </row>
    <row r="60">
      <c r="A60" s="4" t="n"/>
      <c r="B60" s="4" t="n"/>
      <c r="C60" s="5" t="n"/>
      <c r="D60" s="5" t="n"/>
      <c r="E60" s="4" t="n"/>
      <c r="F60" s="4" t="n"/>
      <c r="G60" s="4" t="n"/>
      <c r="H60" s="6" t="n"/>
      <c r="I60" s="6" t="n"/>
      <c r="J60" s="5" t="n"/>
      <c r="K60" s="7" t="n"/>
      <c r="L60" s="7" t="n"/>
      <c r="M60" s="8" t="n"/>
      <c r="N60" s="9" t="n"/>
      <c r="O60" s="9" t="n"/>
      <c r="P60" s="13">
        <f>IF(OR(L60="",M60="",N60=""),"",IFERROR(L60*((M60/12)*(1+M60/12)^N60)/(((1+M60/12)^N60)-1),""))</f>
        <v/>
      </c>
      <c r="Q60" s="13">
        <f>IF(A60="","",IFERROR(P60*N60,""))</f>
        <v/>
      </c>
      <c r="R60" s="9" t="n"/>
      <c r="S60" s="9" t="n"/>
      <c r="T60" s="6" t="n"/>
      <c r="U60" s="13">
        <f>IF(A60="","",IFERROR(MAX(0,Q60-(R60*P60)),""))</f>
        <v/>
      </c>
      <c r="V60" s="14">
        <f>IF(A60="","",IFERROR(MIN(1,R60/N60),0))</f>
        <v/>
      </c>
      <c r="W60" s="15">
        <f>IF(A60="","",IF(U60&lt;=0,"Quitado",IF(S60&gt;0,"Em atraso",IF(T60="","Sem vencimento",IF(T60&lt;=TODAY()+30,"Vencimento próximo","Em dia")))))</f>
        <v/>
      </c>
      <c r="X60" s="5" t="n"/>
      <c r="Y60" s="15">
        <f>IF(A60="","",IFERROR(VLOOKUP(F60,'Resumo'!$A$16:$D$20,4,FALSE),""))</f>
        <v/>
      </c>
    </row>
    <row r="61">
      <c r="A61" s="4" t="n"/>
      <c r="B61" s="4" t="n"/>
      <c r="C61" s="5" t="n"/>
      <c r="D61" s="5" t="n"/>
      <c r="E61" s="4" t="n"/>
      <c r="F61" s="4" t="n"/>
      <c r="G61" s="4" t="n"/>
      <c r="H61" s="6" t="n"/>
      <c r="I61" s="6" t="n"/>
      <c r="J61" s="5" t="n"/>
      <c r="K61" s="7" t="n"/>
      <c r="L61" s="7" t="n"/>
      <c r="M61" s="8" t="n"/>
      <c r="N61" s="9" t="n"/>
      <c r="O61" s="9" t="n"/>
      <c r="P61" s="10">
        <f>IF(OR(L61="",M61="",N61=""),"",IFERROR(L61*((M61/12)*(1+M61/12)^N61)/(((1+M61/12)^N61)-1),""))</f>
        <v/>
      </c>
      <c r="Q61" s="10">
        <f>IF(A61="","",IFERROR(P61*N61,""))</f>
        <v/>
      </c>
      <c r="R61" s="9" t="n"/>
      <c r="S61" s="9" t="n"/>
      <c r="T61" s="6" t="n"/>
      <c r="U61" s="10">
        <f>IF(A61="","",IFERROR(MAX(0,Q61-(R61*P61)),""))</f>
        <v/>
      </c>
      <c r="V61" s="11">
        <f>IF(A61="","",IFERROR(MIN(1,R61/N61),0))</f>
        <v/>
      </c>
      <c r="W61" s="12">
        <f>IF(A61="","",IF(U61&lt;=0,"Quitado",IF(S61&gt;0,"Em atraso",IF(T61="","Sem vencimento",IF(T61&lt;=TODAY()+30,"Vencimento próximo","Em dia")))))</f>
        <v/>
      </c>
      <c r="X61" s="5" t="n"/>
      <c r="Y61" s="12">
        <f>IF(A61="","",IFERROR(VLOOKUP(F61,'Resumo'!$A$16:$D$20,4,FALSE),""))</f>
        <v/>
      </c>
    </row>
    <row r="62">
      <c r="A62" s="4" t="n"/>
      <c r="B62" s="4" t="n"/>
      <c r="C62" s="5" t="n"/>
      <c r="D62" s="5" t="n"/>
      <c r="E62" s="4" t="n"/>
      <c r="F62" s="4" t="n"/>
      <c r="G62" s="4" t="n"/>
      <c r="H62" s="6" t="n"/>
      <c r="I62" s="6" t="n"/>
      <c r="J62" s="5" t="n"/>
      <c r="K62" s="7" t="n"/>
      <c r="L62" s="7" t="n"/>
      <c r="M62" s="8" t="n"/>
      <c r="N62" s="9" t="n"/>
      <c r="O62" s="9" t="n"/>
      <c r="P62" s="13">
        <f>IF(OR(L62="",M62="",N62=""),"",IFERROR(L62*((M62/12)*(1+M62/12)^N62)/(((1+M62/12)^N62)-1),""))</f>
        <v/>
      </c>
      <c r="Q62" s="13">
        <f>IF(A62="","",IFERROR(P62*N62,""))</f>
        <v/>
      </c>
      <c r="R62" s="9" t="n"/>
      <c r="S62" s="9" t="n"/>
      <c r="T62" s="6" t="n"/>
      <c r="U62" s="13">
        <f>IF(A62="","",IFERROR(MAX(0,Q62-(R62*P62)),""))</f>
        <v/>
      </c>
      <c r="V62" s="14">
        <f>IF(A62="","",IFERROR(MIN(1,R62/N62),0))</f>
        <v/>
      </c>
      <c r="W62" s="15">
        <f>IF(A62="","",IF(U62&lt;=0,"Quitado",IF(S62&gt;0,"Em atraso",IF(T62="","Sem vencimento",IF(T62&lt;=TODAY()+30,"Vencimento próximo","Em dia")))))</f>
        <v/>
      </c>
      <c r="X62" s="5" t="n"/>
      <c r="Y62" s="15">
        <f>IF(A62="","",IFERROR(VLOOKUP(F62,'Resumo'!$A$16:$D$20,4,FALSE),""))</f>
        <v/>
      </c>
    </row>
    <row r="63">
      <c r="A63" s="4" t="n"/>
      <c r="B63" s="4" t="n"/>
      <c r="C63" s="5" t="n"/>
      <c r="D63" s="5" t="n"/>
      <c r="E63" s="4" t="n"/>
      <c r="F63" s="4" t="n"/>
      <c r="G63" s="4" t="n"/>
      <c r="H63" s="6" t="n"/>
      <c r="I63" s="6" t="n"/>
      <c r="J63" s="5" t="n"/>
      <c r="K63" s="7" t="n"/>
      <c r="L63" s="7" t="n"/>
      <c r="M63" s="8" t="n"/>
      <c r="N63" s="9" t="n"/>
      <c r="O63" s="9" t="n"/>
      <c r="P63" s="10">
        <f>IF(OR(L63="",M63="",N63=""),"",IFERROR(L63*((M63/12)*(1+M63/12)^N63)/(((1+M63/12)^N63)-1),""))</f>
        <v/>
      </c>
      <c r="Q63" s="10">
        <f>IF(A63="","",IFERROR(P63*N63,""))</f>
        <v/>
      </c>
      <c r="R63" s="9" t="n"/>
      <c r="S63" s="9" t="n"/>
      <c r="T63" s="6" t="n"/>
      <c r="U63" s="10">
        <f>IF(A63="","",IFERROR(MAX(0,Q63-(R63*P63)),""))</f>
        <v/>
      </c>
      <c r="V63" s="11">
        <f>IF(A63="","",IFERROR(MIN(1,R63/N63),0))</f>
        <v/>
      </c>
      <c r="W63" s="12">
        <f>IF(A63="","",IF(U63&lt;=0,"Quitado",IF(S63&gt;0,"Em atraso",IF(T63="","Sem vencimento",IF(T63&lt;=TODAY()+30,"Vencimento próximo","Em dia")))))</f>
        <v/>
      </c>
      <c r="X63" s="5" t="n"/>
      <c r="Y63" s="12">
        <f>IF(A63="","",IFERROR(VLOOKUP(F63,'Resumo'!$A$16:$D$20,4,FALSE),""))</f>
        <v/>
      </c>
    </row>
    <row r="64">
      <c r="A64" s="4" t="n"/>
      <c r="B64" s="4" t="n"/>
      <c r="C64" s="5" t="n"/>
      <c r="D64" s="5" t="n"/>
      <c r="E64" s="4" t="n"/>
      <c r="F64" s="4" t="n"/>
      <c r="G64" s="4" t="n"/>
      <c r="H64" s="6" t="n"/>
      <c r="I64" s="6" t="n"/>
      <c r="J64" s="5" t="n"/>
      <c r="K64" s="7" t="n"/>
      <c r="L64" s="7" t="n"/>
      <c r="M64" s="8" t="n"/>
      <c r="N64" s="9" t="n"/>
      <c r="O64" s="9" t="n"/>
      <c r="P64" s="13">
        <f>IF(OR(L64="",M64="",N64=""),"",IFERROR(L64*((M64/12)*(1+M64/12)^N64)/(((1+M64/12)^N64)-1),""))</f>
        <v/>
      </c>
      <c r="Q64" s="13">
        <f>IF(A64="","",IFERROR(P64*N64,""))</f>
        <v/>
      </c>
      <c r="R64" s="9" t="n"/>
      <c r="S64" s="9" t="n"/>
      <c r="T64" s="6" t="n"/>
      <c r="U64" s="13">
        <f>IF(A64="","",IFERROR(MAX(0,Q64-(R64*P64)),""))</f>
        <v/>
      </c>
      <c r="V64" s="14">
        <f>IF(A64="","",IFERROR(MIN(1,R64/N64),0))</f>
        <v/>
      </c>
      <c r="W64" s="15">
        <f>IF(A64="","",IF(U64&lt;=0,"Quitado",IF(S64&gt;0,"Em atraso",IF(T64="","Sem vencimento",IF(T64&lt;=TODAY()+30,"Vencimento próximo","Em dia")))))</f>
        <v/>
      </c>
      <c r="X64" s="5" t="n"/>
      <c r="Y64" s="15">
        <f>IF(A64="","",IFERROR(VLOOKUP(F64,'Resumo'!$A$16:$D$20,4,FALSE),""))</f>
        <v/>
      </c>
    </row>
    <row r="65">
      <c r="A65" s="4" t="n"/>
      <c r="B65" s="4" t="n"/>
      <c r="C65" s="5" t="n"/>
      <c r="D65" s="5" t="n"/>
      <c r="E65" s="4" t="n"/>
      <c r="F65" s="4" t="n"/>
      <c r="G65" s="4" t="n"/>
      <c r="H65" s="6" t="n"/>
      <c r="I65" s="6" t="n"/>
      <c r="J65" s="5" t="n"/>
      <c r="K65" s="7" t="n"/>
      <c r="L65" s="7" t="n"/>
      <c r="M65" s="8" t="n"/>
      <c r="N65" s="9" t="n"/>
      <c r="O65" s="9" t="n"/>
      <c r="P65" s="10">
        <f>IF(OR(L65="",M65="",N65=""),"",IFERROR(L65*((M65/12)*(1+M65/12)^N65)/(((1+M65/12)^N65)-1),""))</f>
        <v/>
      </c>
      <c r="Q65" s="10">
        <f>IF(A65="","",IFERROR(P65*N65,""))</f>
        <v/>
      </c>
      <c r="R65" s="9" t="n"/>
      <c r="S65" s="9" t="n"/>
      <c r="T65" s="6" t="n"/>
      <c r="U65" s="10">
        <f>IF(A65="","",IFERROR(MAX(0,Q65-(R65*P65)),""))</f>
        <v/>
      </c>
      <c r="V65" s="11">
        <f>IF(A65="","",IFERROR(MIN(1,R65/N65),0))</f>
        <v/>
      </c>
      <c r="W65" s="12">
        <f>IF(A65="","",IF(U65&lt;=0,"Quitado",IF(S65&gt;0,"Em atraso",IF(T65="","Sem vencimento",IF(T65&lt;=TODAY()+30,"Vencimento próximo","Em dia")))))</f>
        <v/>
      </c>
      <c r="X65" s="5" t="n"/>
      <c r="Y65" s="12">
        <f>IF(A65="","",IFERROR(VLOOKUP(F65,'Resumo'!$A$16:$D$20,4,FALSE),""))</f>
        <v/>
      </c>
    </row>
    <row r="66">
      <c r="A66" s="4" t="n"/>
      <c r="B66" s="4" t="n"/>
      <c r="C66" s="5" t="n"/>
      <c r="D66" s="5" t="n"/>
      <c r="E66" s="4" t="n"/>
      <c r="F66" s="4" t="n"/>
      <c r="G66" s="4" t="n"/>
      <c r="H66" s="6" t="n"/>
      <c r="I66" s="6" t="n"/>
      <c r="J66" s="5" t="n"/>
      <c r="K66" s="7" t="n"/>
      <c r="L66" s="7" t="n"/>
      <c r="M66" s="8" t="n"/>
      <c r="N66" s="9" t="n"/>
      <c r="O66" s="9" t="n"/>
      <c r="P66" s="13">
        <f>IF(OR(L66="",M66="",N66=""),"",IFERROR(L66*((M66/12)*(1+M66/12)^N66)/(((1+M66/12)^N66)-1),""))</f>
        <v/>
      </c>
      <c r="Q66" s="13">
        <f>IF(A66="","",IFERROR(P66*N66,""))</f>
        <v/>
      </c>
      <c r="R66" s="9" t="n"/>
      <c r="S66" s="9" t="n"/>
      <c r="T66" s="6" t="n"/>
      <c r="U66" s="13">
        <f>IF(A66="","",IFERROR(MAX(0,Q66-(R66*P66)),""))</f>
        <v/>
      </c>
      <c r="V66" s="14">
        <f>IF(A66="","",IFERROR(MIN(1,R66/N66),0))</f>
        <v/>
      </c>
      <c r="W66" s="15">
        <f>IF(A66="","",IF(U66&lt;=0,"Quitado",IF(S66&gt;0,"Em atraso",IF(T66="","Sem vencimento",IF(T66&lt;=TODAY()+30,"Vencimento próximo","Em dia")))))</f>
        <v/>
      </c>
      <c r="X66" s="5" t="n"/>
      <c r="Y66" s="15">
        <f>IF(A66="","",IFERROR(VLOOKUP(F66,'Resumo'!$A$16:$D$20,4,FALSE),""))</f>
        <v/>
      </c>
    </row>
    <row r="67">
      <c r="A67" s="4" t="n"/>
      <c r="B67" s="4" t="n"/>
      <c r="C67" s="5" t="n"/>
      <c r="D67" s="5" t="n"/>
      <c r="E67" s="4" t="n"/>
      <c r="F67" s="4" t="n"/>
      <c r="G67" s="4" t="n"/>
      <c r="H67" s="6" t="n"/>
      <c r="I67" s="6" t="n"/>
      <c r="J67" s="5" t="n"/>
      <c r="K67" s="7" t="n"/>
      <c r="L67" s="7" t="n"/>
      <c r="M67" s="8" t="n"/>
      <c r="N67" s="9" t="n"/>
      <c r="O67" s="9" t="n"/>
      <c r="P67" s="10">
        <f>IF(OR(L67="",M67="",N67=""),"",IFERROR(L67*((M67/12)*(1+M67/12)^N67)/(((1+M67/12)^N67)-1),""))</f>
        <v/>
      </c>
      <c r="Q67" s="10">
        <f>IF(A67="","",IFERROR(P67*N67,""))</f>
        <v/>
      </c>
      <c r="R67" s="9" t="n"/>
      <c r="S67" s="9" t="n"/>
      <c r="T67" s="6" t="n"/>
      <c r="U67" s="10">
        <f>IF(A67="","",IFERROR(MAX(0,Q67-(R67*P67)),""))</f>
        <v/>
      </c>
      <c r="V67" s="11">
        <f>IF(A67="","",IFERROR(MIN(1,R67/N67),0))</f>
        <v/>
      </c>
      <c r="W67" s="12">
        <f>IF(A67="","",IF(U67&lt;=0,"Quitado",IF(S67&gt;0,"Em atraso",IF(T67="","Sem vencimento",IF(T67&lt;=TODAY()+30,"Vencimento próximo","Em dia")))))</f>
        <v/>
      </c>
      <c r="X67" s="5" t="n"/>
      <c r="Y67" s="12">
        <f>IF(A67="","",IFERROR(VLOOKUP(F67,'Resumo'!$A$16:$D$20,4,FALSE),""))</f>
        <v/>
      </c>
    </row>
    <row r="68">
      <c r="A68" s="4" t="n"/>
      <c r="B68" s="4" t="n"/>
      <c r="C68" s="5" t="n"/>
      <c r="D68" s="5" t="n"/>
      <c r="E68" s="4" t="n"/>
      <c r="F68" s="4" t="n"/>
      <c r="G68" s="4" t="n"/>
      <c r="H68" s="6" t="n"/>
      <c r="I68" s="6" t="n"/>
      <c r="J68" s="5" t="n"/>
      <c r="K68" s="7" t="n"/>
      <c r="L68" s="7" t="n"/>
      <c r="M68" s="8" t="n"/>
      <c r="N68" s="9" t="n"/>
      <c r="O68" s="9" t="n"/>
      <c r="P68" s="13">
        <f>IF(OR(L68="",M68="",N68=""),"",IFERROR(L68*((M68/12)*(1+M68/12)^N68)/(((1+M68/12)^N68)-1),""))</f>
        <v/>
      </c>
      <c r="Q68" s="13">
        <f>IF(A68="","",IFERROR(P68*N68,""))</f>
        <v/>
      </c>
      <c r="R68" s="9" t="n"/>
      <c r="S68" s="9" t="n"/>
      <c r="T68" s="6" t="n"/>
      <c r="U68" s="13">
        <f>IF(A68="","",IFERROR(MAX(0,Q68-(R68*P68)),""))</f>
        <v/>
      </c>
      <c r="V68" s="14">
        <f>IF(A68="","",IFERROR(MIN(1,R68/N68),0))</f>
        <v/>
      </c>
      <c r="W68" s="15">
        <f>IF(A68="","",IF(U68&lt;=0,"Quitado",IF(S68&gt;0,"Em atraso",IF(T68="","Sem vencimento",IF(T68&lt;=TODAY()+30,"Vencimento próximo","Em dia")))))</f>
        <v/>
      </c>
      <c r="X68" s="5" t="n"/>
      <c r="Y68" s="15">
        <f>IF(A68="","",IFERROR(VLOOKUP(F68,'Resumo'!$A$16:$D$20,4,FALSE),""))</f>
        <v/>
      </c>
    </row>
    <row r="69">
      <c r="A69" s="4" t="n"/>
      <c r="B69" s="4" t="n"/>
      <c r="C69" s="5" t="n"/>
      <c r="D69" s="5" t="n"/>
      <c r="E69" s="4" t="n"/>
      <c r="F69" s="4" t="n"/>
      <c r="G69" s="4" t="n"/>
      <c r="H69" s="6" t="n"/>
      <c r="I69" s="6" t="n"/>
      <c r="J69" s="5" t="n"/>
      <c r="K69" s="7" t="n"/>
      <c r="L69" s="7" t="n"/>
      <c r="M69" s="8" t="n"/>
      <c r="N69" s="9" t="n"/>
      <c r="O69" s="9" t="n"/>
      <c r="P69" s="10">
        <f>IF(OR(L69="",M69="",N69=""),"",IFERROR(L69*((M69/12)*(1+M69/12)^N69)/(((1+M69/12)^N69)-1),""))</f>
        <v/>
      </c>
      <c r="Q69" s="10">
        <f>IF(A69="","",IFERROR(P69*N69,""))</f>
        <v/>
      </c>
      <c r="R69" s="9" t="n"/>
      <c r="S69" s="9" t="n"/>
      <c r="T69" s="6" t="n"/>
      <c r="U69" s="10">
        <f>IF(A69="","",IFERROR(MAX(0,Q69-(R69*P69)),""))</f>
        <v/>
      </c>
      <c r="V69" s="11">
        <f>IF(A69="","",IFERROR(MIN(1,R69/N69),0))</f>
        <v/>
      </c>
      <c r="W69" s="12">
        <f>IF(A69="","",IF(U69&lt;=0,"Quitado",IF(S69&gt;0,"Em atraso",IF(T69="","Sem vencimento",IF(T69&lt;=TODAY()+30,"Vencimento próximo","Em dia")))))</f>
        <v/>
      </c>
      <c r="X69" s="5" t="n"/>
      <c r="Y69" s="12">
        <f>IF(A69="","",IFERROR(VLOOKUP(F69,'Resumo'!$A$16:$D$20,4,FALSE),""))</f>
        <v/>
      </c>
    </row>
    <row r="70">
      <c r="A70" s="4" t="n"/>
      <c r="B70" s="4" t="n"/>
      <c r="C70" s="5" t="n"/>
      <c r="D70" s="5" t="n"/>
      <c r="E70" s="4" t="n"/>
      <c r="F70" s="4" t="n"/>
      <c r="G70" s="4" t="n"/>
      <c r="H70" s="6" t="n"/>
      <c r="I70" s="6" t="n"/>
      <c r="J70" s="5" t="n"/>
      <c r="K70" s="7" t="n"/>
      <c r="L70" s="7" t="n"/>
      <c r="M70" s="8" t="n"/>
      <c r="N70" s="9" t="n"/>
      <c r="O70" s="9" t="n"/>
      <c r="P70" s="13">
        <f>IF(OR(L70="",M70="",N70=""),"",IFERROR(L70*((M70/12)*(1+M70/12)^N70)/(((1+M70/12)^N70)-1),""))</f>
        <v/>
      </c>
      <c r="Q70" s="13">
        <f>IF(A70="","",IFERROR(P70*N70,""))</f>
        <v/>
      </c>
      <c r="R70" s="9" t="n"/>
      <c r="S70" s="9" t="n"/>
      <c r="T70" s="6" t="n"/>
      <c r="U70" s="13">
        <f>IF(A70="","",IFERROR(MAX(0,Q70-(R70*P70)),""))</f>
        <v/>
      </c>
      <c r="V70" s="14">
        <f>IF(A70="","",IFERROR(MIN(1,R70/N70),0))</f>
        <v/>
      </c>
      <c r="W70" s="15">
        <f>IF(A70="","",IF(U70&lt;=0,"Quitado",IF(S70&gt;0,"Em atraso",IF(T70="","Sem vencimento",IF(T70&lt;=TODAY()+30,"Vencimento próximo","Em dia")))))</f>
        <v/>
      </c>
      <c r="X70" s="5" t="n"/>
      <c r="Y70" s="15">
        <f>IF(A70="","",IFERROR(VLOOKUP(F70,'Resumo'!$A$16:$D$20,4,FALSE),""))</f>
        <v/>
      </c>
    </row>
    <row r="71">
      <c r="A71" s="4" t="n"/>
      <c r="B71" s="4" t="n"/>
      <c r="C71" s="5" t="n"/>
      <c r="D71" s="5" t="n"/>
      <c r="E71" s="4" t="n"/>
      <c r="F71" s="4" t="n"/>
      <c r="G71" s="4" t="n"/>
      <c r="H71" s="6" t="n"/>
      <c r="I71" s="6" t="n"/>
      <c r="J71" s="5" t="n"/>
      <c r="K71" s="7" t="n"/>
      <c r="L71" s="7" t="n"/>
      <c r="M71" s="8" t="n"/>
      <c r="N71" s="9" t="n"/>
      <c r="O71" s="9" t="n"/>
      <c r="P71" s="10">
        <f>IF(OR(L71="",M71="",N71=""),"",IFERROR(L71*((M71/12)*(1+M71/12)^N71)/(((1+M71/12)^N71)-1),""))</f>
        <v/>
      </c>
      <c r="Q71" s="10">
        <f>IF(A71="","",IFERROR(P71*N71,""))</f>
        <v/>
      </c>
      <c r="R71" s="9" t="n"/>
      <c r="S71" s="9" t="n"/>
      <c r="T71" s="6" t="n"/>
      <c r="U71" s="10">
        <f>IF(A71="","",IFERROR(MAX(0,Q71-(R71*P71)),""))</f>
        <v/>
      </c>
      <c r="V71" s="11">
        <f>IF(A71="","",IFERROR(MIN(1,R71/N71),0))</f>
        <v/>
      </c>
      <c r="W71" s="12">
        <f>IF(A71="","",IF(U71&lt;=0,"Quitado",IF(S71&gt;0,"Em atraso",IF(T71="","Sem vencimento",IF(T71&lt;=TODAY()+30,"Vencimento próximo","Em dia")))))</f>
        <v/>
      </c>
      <c r="X71" s="5" t="n"/>
      <c r="Y71" s="12">
        <f>IF(A71="","",IFERROR(VLOOKUP(F71,'Resumo'!$A$16:$D$20,4,FALSE),""))</f>
        <v/>
      </c>
    </row>
    <row r="72">
      <c r="A72" s="4" t="n"/>
      <c r="B72" s="4" t="n"/>
      <c r="C72" s="5" t="n"/>
      <c r="D72" s="5" t="n"/>
      <c r="E72" s="4" t="n"/>
      <c r="F72" s="4" t="n"/>
      <c r="G72" s="4" t="n"/>
      <c r="H72" s="6" t="n"/>
      <c r="I72" s="6" t="n"/>
      <c r="J72" s="5" t="n"/>
      <c r="K72" s="7" t="n"/>
      <c r="L72" s="7" t="n"/>
      <c r="M72" s="8" t="n"/>
      <c r="N72" s="9" t="n"/>
      <c r="O72" s="9" t="n"/>
      <c r="P72" s="13">
        <f>IF(OR(L72="",M72="",N72=""),"",IFERROR(L72*((M72/12)*(1+M72/12)^N72)/(((1+M72/12)^N72)-1),""))</f>
        <v/>
      </c>
      <c r="Q72" s="13">
        <f>IF(A72="","",IFERROR(P72*N72,""))</f>
        <v/>
      </c>
      <c r="R72" s="9" t="n"/>
      <c r="S72" s="9" t="n"/>
      <c r="T72" s="6" t="n"/>
      <c r="U72" s="13">
        <f>IF(A72="","",IFERROR(MAX(0,Q72-(R72*P72)),""))</f>
        <v/>
      </c>
      <c r="V72" s="14">
        <f>IF(A72="","",IFERROR(MIN(1,R72/N72),0))</f>
        <v/>
      </c>
      <c r="W72" s="15">
        <f>IF(A72="","",IF(U72&lt;=0,"Quitado",IF(S72&gt;0,"Em atraso",IF(T72="","Sem vencimento",IF(T72&lt;=TODAY()+30,"Vencimento próximo","Em dia")))))</f>
        <v/>
      </c>
      <c r="X72" s="5" t="n"/>
      <c r="Y72" s="15">
        <f>IF(A72="","",IFERROR(VLOOKUP(F72,'Resumo'!$A$16:$D$20,4,FALSE),""))</f>
        <v/>
      </c>
    </row>
    <row r="73">
      <c r="A73" s="4" t="n"/>
      <c r="B73" s="4" t="n"/>
      <c r="C73" s="5" t="n"/>
      <c r="D73" s="5" t="n"/>
      <c r="E73" s="4" t="n"/>
      <c r="F73" s="4" t="n"/>
      <c r="G73" s="4" t="n"/>
      <c r="H73" s="6" t="n"/>
      <c r="I73" s="6" t="n"/>
      <c r="J73" s="5" t="n"/>
      <c r="K73" s="7" t="n"/>
      <c r="L73" s="7" t="n"/>
      <c r="M73" s="8" t="n"/>
      <c r="N73" s="9" t="n"/>
      <c r="O73" s="9" t="n"/>
      <c r="P73" s="10">
        <f>IF(OR(L73="",M73="",N73=""),"",IFERROR(L73*((M73/12)*(1+M73/12)^N73)/(((1+M73/12)^N73)-1),""))</f>
        <v/>
      </c>
      <c r="Q73" s="10">
        <f>IF(A73="","",IFERROR(P73*N73,""))</f>
        <v/>
      </c>
      <c r="R73" s="9" t="n"/>
      <c r="S73" s="9" t="n"/>
      <c r="T73" s="6" t="n"/>
      <c r="U73" s="10">
        <f>IF(A73="","",IFERROR(MAX(0,Q73-(R73*P73)),""))</f>
        <v/>
      </c>
      <c r="V73" s="11">
        <f>IF(A73="","",IFERROR(MIN(1,R73/N73),0))</f>
        <v/>
      </c>
      <c r="W73" s="12">
        <f>IF(A73="","",IF(U73&lt;=0,"Quitado",IF(S73&gt;0,"Em atraso",IF(T73="","Sem vencimento",IF(T73&lt;=TODAY()+30,"Vencimento próximo","Em dia")))))</f>
        <v/>
      </c>
      <c r="X73" s="5" t="n"/>
      <c r="Y73" s="12">
        <f>IF(A73="","",IFERROR(VLOOKUP(F73,'Resumo'!$A$16:$D$20,4,FALSE),""))</f>
        <v/>
      </c>
    </row>
    <row r="74">
      <c r="A74" s="4" t="n"/>
      <c r="B74" s="4" t="n"/>
      <c r="C74" s="5" t="n"/>
      <c r="D74" s="5" t="n"/>
      <c r="E74" s="4" t="n"/>
      <c r="F74" s="4" t="n"/>
      <c r="G74" s="4" t="n"/>
      <c r="H74" s="6" t="n"/>
      <c r="I74" s="6" t="n"/>
      <c r="J74" s="5" t="n"/>
      <c r="K74" s="7" t="n"/>
      <c r="L74" s="7" t="n"/>
      <c r="M74" s="8" t="n"/>
      <c r="N74" s="9" t="n"/>
      <c r="O74" s="9" t="n"/>
      <c r="P74" s="13">
        <f>IF(OR(L74="",M74="",N74=""),"",IFERROR(L74*((M74/12)*(1+M74/12)^N74)/(((1+M74/12)^N74)-1),""))</f>
        <v/>
      </c>
      <c r="Q74" s="13">
        <f>IF(A74="","",IFERROR(P74*N74,""))</f>
        <v/>
      </c>
      <c r="R74" s="9" t="n"/>
      <c r="S74" s="9" t="n"/>
      <c r="T74" s="6" t="n"/>
      <c r="U74" s="13">
        <f>IF(A74="","",IFERROR(MAX(0,Q74-(R74*P74)),""))</f>
        <v/>
      </c>
      <c r="V74" s="14">
        <f>IF(A74="","",IFERROR(MIN(1,R74/N74),0))</f>
        <v/>
      </c>
      <c r="W74" s="15">
        <f>IF(A74="","",IF(U74&lt;=0,"Quitado",IF(S74&gt;0,"Em atraso",IF(T74="","Sem vencimento",IF(T74&lt;=TODAY()+30,"Vencimento próximo","Em dia")))))</f>
        <v/>
      </c>
      <c r="X74" s="5" t="n"/>
      <c r="Y74" s="15">
        <f>IF(A74="","",IFERROR(VLOOKUP(F74,'Resumo'!$A$16:$D$20,4,FALSE),""))</f>
        <v/>
      </c>
    </row>
    <row r="75">
      <c r="A75" s="4" t="n"/>
      <c r="B75" s="4" t="n"/>
      <c r="C75" s="5" t="n"/>
      <c r="D75" s="5" t="n"/>
      <c r="E75" s="4" t="n"/>
      <c r="F75" s="4" t="n"/>
      <c r="G75" s="4" t="n"/>
      <c r="H75" s="6" t="n"/>
      <c r="I75" s="6" t="n"/>
      <c r="J75" s="5" t="n"/>
      <c r="K75" s="7" t="n"/>
      <c r="L75" s="7" t="n"/>
      <c r="M75" s="8" t="n"/>
      <c r="N75" s="9" t="n"/>
      <c r="O75" s="9" t="n"/>
      <c r="P75" s="10">
        <f>IF(OR(L75="",M75="",N75=""),"",IFERROR(L75*((M75/12)*(1+M75/12)^N75)/(((1+M75/12)^N75)-1),""))</f>
        <v/>
      </c>
      <c r="Q75" s="10">
        <f>IF(A75="","",IFERROR(P75*N75,""))</f>
        <v/>
      </c>
      <c r="R75" s="9" t="n"/>
      <c r="S75" s="9" t="n"/>
      <c r="T75" s="6" t="n"/>
      <c r="U75" s="10">
        <f>IF(A75="","",IFERROR(MAX(0,Q75-(R75*P75)),""))</f>
        <v/>
      </c>
      <c r="V75" s="11">
        <f>IF(A75="","",IFERROR(MIN(1,R75/N75),0))</f>
        <v/>
      </c>
      <c r="W75" s="12">
        <f>IF(A75="","",IF(U75&lt;=0,"Quitado",IF(S75&gt;0,"Em atraso",IF(T75="","Sem vencimento",IF(T75&lt;=TODAY()+30,"Vencimento próximo","Em dia")))))</f>
        <v/>
      </c>
      <c r="X75" s="5" t="n"/>
      <c r="Y75" s="12">
        <f>IF(A75="","",IFERROR(VLOOKUP(F75,'Resumo'!$A$16:$D$20,4,FALSE),""))</f>
        <v/>
      </c>
    </row>
    <row r="76">
      <c r="A76" s="4" t="n"/>
      <c r="B76" s="4" t="n"/>
      <c r="C76" s="5" t="n"/>
      <c r="D76" s="5" t="n"/>
      <c r="E76" s="4" t="n"/>
      <c r="F76" s="4" t="n"/>
      <c r="G76" s="4" t="n"/>
      <c r="H76" s="6" t="n"/>
      <c r="I76" s="6" t="n"/>
      <c r="J76" s="5" t="n"/>
      <c r="K76" s="7" t="n"/>
      <c r="L76" s="7" t="n"/>
      <c r="M76" s="8" t="n"/>
      <c r="N76" s="9" t="n"/>
      <c r="O76" s="9" t="n"/>
      <c r="P76" s="13">
        <f>IF(OR(L76="",M76="",N76=""),"",IFERROR(L76*((M76/12)*(1+M76/12)^N76)/(((1+M76/12)^N76)-1),""))</f>
        <v/>
      </c>
      <c r="Q76" s="13">
        <f>IF(A76="","",IFERROR(P76*N76,""))</f>
        <v/>
      </c>
      <c r="R76" s="9" t="n"/>
      <c r="S76" s="9" t="n"/>
      <c r="T76" s="6" t="n"/>
      <c r="U76" s="13">
        <f>IF(A76="","",IFERROR(MAX(0,Q76-(R76*P76)),""))</f>
        <v/>
      </c>
      <c r="V76" s="14">
        <f>IF(A76="","",IFERROR(MIN(1,R76/N76),0))</f>
        <v/>
      </c>
      <c r="W76" s="15">
        <f>IF(A76="","",IF(U76&lt;=0,"Quitado",IF(S76&gt;0,"Em atraso",IF(T76="","Sem vencimento",IF(T76&lt;=TODAY()+30,"Vencimento próximo","Em dia")))))</f>
        <v/>
      </c>
      <c r="X76" s="5" t="n"/>
      <c r="Y76" s="15">
        <f>IF(A76="","",IFERROR(VLOOKUP(F76,'Resumo'!$A$16:$D$20,4,FALSE),""))</f>
        <v/>
      </c>
    </row>
    <row r="77">
      <c r="A77" s="4" t="n"/>
      <c r="B77" s="4" t="n"/>
      <c r="C77" s="5" t="n"/>
      <c r="D77" s="5" t="n"/>
      <c r="E77" s="4" t="n"/>
      <c r="F77" s="4" t="n"/>
      <c r="G77" s="4" t="n"/>
      <c r="H77" s="6" t="n"/>
      <c r="I77" s="6" t="n"/>
      <c r="J77" s="5" t="n"/>
      <c r="K77" s="7" t="n"/>
      <c r="L77" s="7" t="n"/>
      <c r="M77" s="8" t="n"/>
      <c r="N77" s="9" t="n"/>
      <c r="O77" s="9" t="n"/>
      <c r="P77" s="10">
        <f>IF(OR(L77="",M77="",N77=""),"",IFERROR(L77*((M77/12)*(1+M77/12)^N77)/(((1+M77/12)^N77)-1),""))</f>
        <v/>
      </c>
      <c r="Q77" s="10">
        <f>IF(A77="","",IFERROR(P77*N77,""))</f>
        <v/>
      </c>
      <c r="R77" s="9" t="n"/>
      <c r="S77" s="9" t="n"/>
      <c r="T77" s="6" t="n"/>
      <c r="U77" s="10">
        <f>IF(A77="","",IFERROR(MAX(0,Q77-(R77*P77)),""))</f>
        <v/>
      </c>
      <c r="V77" s="11">
        <f>IF(A77="","",IFERROR(MIN(1,R77/N77),0))</f>
        <v/>
      </c>
      <c r="W77" s="12">
        <f>IF(A77="","",IF(U77&lt;=0,"Quitado",IF(S77&gt;0,"Em atraso",IF(T77="","Sem vencimento",IF(T77&lt;=TODAY()+30,"Vencimento próximo","Em dia")))))</f>
        <v/>
      </c>
      <c r="X77" s="5" t="n"/>
      <c r="Y77" s="12">
        <f>IF(A77="","",IFERROR(VLOOKUP(F77,'Resumo'!$A$16:$D$20,4,FALSE),""))</f>
        <v/>
      </c>
    </row>
    <row r="78">
      <c r="A78" s="4" t="n"/>
      <c r="B78" s="4" t="n"/>
      <c r="C78" s="5" t="n"/>
      <c r="D78" s="5" t="n"/>
      <c r="E78" s="4" t="n"/>
      <c r="F78" s="4" t="n"/>
      <c r="G78" s="4" t="n"/>
      <c r="H78" s="6" t="n"/>
      <c r="I78" s="6" t="n"/>
      <c r="J78" s="5" t="n"/>
      <c r="K78" s="7" t="n"/>
      <c r="L78" s="7" t="n"/>
      <c r="M78" s="8" t="n"/>
      <c r="N78" s="9" t="n"/>
      <c r="O78" s="9" t="n"/>
      <c r="P78" s="13">
        <f>IF(OR(L78="",M78="",N78=""),"",IFERROR(L78*((M78/12)*(1+M78/12)^N78)/(((1+M78/12)^N78)-1),""))</f>
        <v/>
      </c>
      <c r="Q78" s="13">
        <f>IF(A78="","",IFERROR(P78*N78,""))</f>
        <v/>
      </c>
      <c r="R78" s="9" t="n"/>
      <c r="S78" s="9" t="n"/>
      <c r="T78" s="6" t="n"/>
      <c r="U78" s="13">
        <f>IF(A78="","",IFERROR(MAX(0,Q78-(R78*P78)),""))</f>
        <v/>
      </c>
      <c r="V78" s="14">
        <f>IF(A78="","",IFERROR(MIN(1,R78/N78),0))</f>
        <v/>
      </c>
      <c r="W78" s="15">
        <f>IF(A78="","",IF(U78&lt;=0,"Quitado",IF(S78&gt;0,"Em atraso",IF(T78="","Sem vencimento",IF(T78&lt;=TODAY()+30,"Vencimento próximo","Em dia")))))</f>
        <v/>
      </c>
      <c r="X78" s="5" t="n"/>
      <c r="Y78" s="15">
        <f>IF(A78="","",IFERROR(VLOOKUP(F78,'Resumo'!$A$16:$D$20,4,FALSE),""))</f>
        <v/>
      </c>
    </row>
    <row r="79">
      <c r="A79" s="4" t="n"/>
      <c r="B79" s="4" t="n"/>
      <c r="C79" s="5" t="n"/>
      <c r="D79" s="5" t="n"/>
      <c r="E79" s="4" t="n"/>
      <c r="F79" s="4" t="n"/>
      <c r="G79" s="4" t="n"/>
      <c r="H79" s="6" t="n"/>
      <c r="I79" s="6" t="n"/>
      <c r="J79" s="5" t="n"/>
      <c r="K79" s="7" t="n"/>
      <c r="L79" s="7" t="n"/>
      <c r="M79" s="8" t="n"/>
      <c r="N79" s="9" t="n"/>
      <c r="O79" s="9" t="n"/>
      <c r="P79" s="10">
        <f>IF(OR(L79="",M79="",N79=""),"",IFERROR(L79*((M79/12)*(1+M79/12)^N79)/(((1+M79/12)^N79)-1),""))</f>
        <v/>
      </c>
      <c r="Q79" s="10">
        <f>IF(A79="","",IFERROR(P79*N79,""))</f>
        <v/>
      </c>
      <c r="R79" s="9" t="n"/>
      <c r="S79" s="9" t="n"/>
      <c r="T79" s="6" t="n"/>
      <c r="U79" s="10">
        <f>IF(A79="","",IFERROR(MAX(0,Q79-(R79*P79)),""))</f>
        <v/>
      </c>
      <c r="V79" s="11">
        <f>IF(A79="","",IFERROR(MIN(1,R79/N79),0))</f>
        <v/>
      </c>
      <c r="W79" s="12">
        <f>IF(A79="","",IF(U79&lt;=0,"Quitado",IF(S79&gt;0,"Em atraso",IF(T79="","Sem vencimento",IF(T79&lt;=TODAY()+30,"Vencimento próximo","Em dia")))))</f>
        <v/>
      </c>
      <c r="X79" s="5" t="n"/>
      <c r="Y79" s="12">
        <f>IF(A79="","",IFERROR(VLOOKUP(F79,'Resumo'!$A$16:$D$20,4,FALSE),""))</f>
        <v/>
      </c>
    </row>
    <row r="80">
      <c r="A80" s="4" t="n"/>
      <c r="B80" s="4" t="n"/>
      <c r="C80" s="5" t="n"/>
      <c r="D80" s="5" t="n"/>
      <c r="E80" s="4" t="n"/>
      <c r="F80" s="4" t="n"/>
      <c r="G80" s="4" t="n"/>
      <c r="H80" s="6" t="n"/>
      <c r="I80" s="6" t="n"/>
      <c r="J80" s="5" t="n"/>
      <c r="K80" s="7" t="n"/>
      <c r="L80" s="7" t="n"/>
      <c r="M80" s="8" t="n"/>
      <c r="N80" s="9" t="n"/>
      <c r="O80" s="9" t="n"/>
      <c r="P80" s="13">
        <f>IF(OR(L80="",M80="",N80=""),"",IFERROR(L80*((M80/12)*(1+M80/12)^N80)/(((1+M80/12)^N80)-1),""))</f>
        <v/>
      </c>
      <c r="Q80" s="13">
        <f>IF(A80="","",IFERROR(P80*N80,""))</f>
        <v/>
      </c>
      <c r="R80" s="9" t="n"/>
      <c r="S80" s="9" t="n"/>
      <c r="T80" s="6" t="n"/>
      <c r="U80" s="13">
        <f>IF(A80="","",IFERROR(MAX(0,Q80-(R80*P80)),""))</f>
        <v/>
      </c>
      <c r="V80" s="14">
        <f>IF(A80="","",IFERROR(MIN(1,R80/N80),0))</f>
        <v/>
      </c>
      <c r="W80" s="15">
        <f>IF(A80="","",IF(U80&lt;=0,"Quitado",IF(S80&gt;0,"Em atraso",IF(T80="","Sem vencimento",IF(T80&lt;=TODAY()+30,"Vencimento próximo","Em dia")))))</f>
        <v/>
      </c>
      <c r="X80" s="5" t="n"/>
      <c r="Y80" s="15">
        <f>IF(A80="","",IFERROR(VLOOKUP(F80,'Resumo'!$A$16:$D$20,4,FALSE),""))</f>
        <v/>
      </c>
    </row>
    <row r="81">
      <c r="A81" s="4" t="n"/>
      <c r="B81" s="4" t="n"/>
      <c r="C81" s="5" t="n"/>
      <c r="D81" s="5" t="n"/>
      <c r="E81" s="4" t="n"/>
      <c r="F81" s="4" t="n"/>
      <c r="G81" s="4" t="n"/>
      <c r="H81" s="6" t="n"/>
      <c r="I81" s="6" t="n"/>
      <c r="J81" s="5" t="n"/>
      <c r="K81" s="7" t="n"/>
      <c r="L81" s="7" t="n"/>
      <c r="M81" s="8" t="n"/>
      <c r="N81" s="9" t="n"/>
      <c r="O81" s="9" t="n"/>
      <c r="P81" s="10">
        <f>IF(OR(L81="",M81="",N81=""),"",IFERROR(L81*((M81/12)*(1+M81/12)^N81)/(((1+M81/12)^N81)-1),""))</f>
        <v/>
      </c>
      <c r="Q81" s="10">
        <f>IF(A81="","",IFERROR(P81*N81,""))</f>
        <v/>
      </c>
      <c r="R81" s="9" t="n"/>
      <c r="S81" s="9" t="n"/>
      <c r="T81" s="6" t="n"/>
      <c r="U81" s="10">
        <f>IF(A81="","",IFERROR(MAX(0,Q81-(R81*P81)),""))</f>
        <v/>
      </c>
      <c r="V81" s="11">
        <f>IF(A81="","",IFERROR(MIN(1,R81/N81),0))</f>
        <v/>
      </c>
      <c r="W81" s="12">
        <f>IF(A81="","",IF(U81&lt;=0,"Quitado",IF(S81&gt;0,"Em atraso",IF(T81="","Sem vencimento",IF(T81&lt;=TODAY()+30,"Vencimento próximo","Em dia")))))</f>
        <v/>
      </c>
      <c r="X81" s="5" t="n"/>
      <c r="Y81" s="12">
        <f>IF(A81="","",IFERROR(VLOOKUP(F81,'Resumo'!$A$16:$D$20,4,FALSE),""))</f>
        <v/>
      </c>
    </row>
    <row r="82">
      <c r="A82" s="4" t="n"/>
      <c r="B82" s="4" t="n"/>
      <c r="C82" s="5" t="n"/>
      <c r="D82" s="5" t="n"/>
      <c r="E82" s="4" t="n"/>
      <c r="F82" s="4" t="n"/>
      <c r="G82" s="4" t="n"/>
      <c r="H82" s="6" t="n"/>
      <c r="I82" s="6" t="n"/>
      <c r="J82" s="5" t="n"/>
      <c r="K82" s="7" t="n"/>
      <c r="L82" s="7" t="n"/>
      <c r="M82" s="8" t="n"/>
      <c r="N82" s="9" t="n"/>
      <c r="O82" s="9" t="n"/>
      <c r="P82" s="13">
        <f>IF(OR(L82="",M82="",N82=""),"",IFERROR(L82*((M82/12)*(1+M82/12)^N82)/(((1+M82/12)^N82)-1),""))</f>
        <v/>
      </c>
      <c r="Q82" s="13">
        <f>IF(A82="","",IFERROR(P82*N82,""))</f>
        <v/>
      </c>
      <c r="R82" s="9" t="n"/>
      <c r="S82" s="9" t="n"/>
      <c r="T82" s="6" t="n"/>
      <c r="U82" s="13">
        <f>IF(A82="","",IFERROR(MAX(0,Q82-(R82*P82)),""))</f>
        <v/>
      </c>
      <c r="V82" s="14">
        <f>IF(A82="","",IFERROR(MIN(1,R82/N82),0))</f>
        <v/>
      </c>
      <c r="W82" s="15">
        <f>IF(A82="","",IF(U82&lt;=0,"Quitado",IF(S82&gt;0,"Em atraso",IF(T82="","Sem vencimento",IF(T82&lt;=TODAY()+30,"Vencimento próximo","Em dia")))))</f>
        <v/>
      </c>
      <c r="X82" s="5" t="n"/>
      <c r="Y82" s="15">
        <f>IF(A82="","",IFERROR(VLOOKUP(F82,'Resumo'!$A$16:$D$20,4,FALSE),""))</f>
        <v/>
      </c>
    </row>
    <row r="83">
      <c r="A83" s="4" t="n"/>
      <c r="B83" s="4" t="n"/>
      <c r="C83" s="5" t="n"/>
      <c r="D83" s="5" t="n"/>
      <c r="E83" s="4" t="n"/>
      <c r="F83" s="4" t="n"/>
      <c r="G83" s="4" t="n"/>
      <c r="H83" s="6" t="n"/>
      <c r="I83" s="6" t="n"/>
      <c r="J83" s="5" t="n"/>
      <c r="K83" s="7" t="n"/>
      <c r="L83" s="7" t="n"/>
      <c r="M83" s="8" t="n"/>
      <c r="N83" s="9" t="n"/>
      <c r="O83" s="9" t="n"/>
      <c r="P83" s="10">
        <f>IF(OR(L83="",M83="",N83=""),"",IFERROR(L83*((M83/12)*(1+M83/12)^N83)/(((1+M83/12)^N83)-1),""))</f>
        <v/>
      </c>
      <c r="Q83" s="10">
        <f>IF(A83="","",IFERROR(P83*N83,""))</f>
        <v/>
      </c>
      <c r="R83" s="9" t="n"/>
      <c r="S83" s="9" t="n"/>
      <c r="T83" s="6" t="n"/>
      <c r="U83" s="10">
        <f>IF(A83="","",IFERROR(MAX(0,Q83-(R83*P83)),""))</f>
        <v/>
      </c>
      <c r="V83" s="11">
        <f>IF(A83="","",IFERROR(MIN(1,R83/N83),0))</f>
        <v/>
      </c>
      <c r="W83" s="12">
        <f>IF(A83="","",IF(U83&lt;=0,"Quitado",IF(S83&gt;0,"Em atraso",IF(T83="","Sem vencimento",IF(T83&lt;=TODAY()+30,"Vencimento próximo","Em dia")))))</f>
        <v/>
      </c>
      <c r="X83" s="5" t="n"/>
      <c r="Y83" s="12">
        <f>IF(A83="","",IFERROR(VLOOKUP(F83,'Resumo'!$A$16:$D$20,4,FALSE),""))</f>
        <v/>
      </c>
    </row>
    <row r="84">
      <c r="A84" s="4" t="n"/>
      <c r="B84" s="4" t="n"/>
      <c r="C84" s="5" t="n"/>
      <c r="D84" s="5" t="n"/>
      <c r="E84" s="4" t="n"/>
      <c r="F84" s="4" t="n"/>
      <c r="G84" s="4" t="n"/>
      <c r="H84" s="6" t="n"/>
      <c r="I84" s="6" t="n"/>
      <c r="J84" s="5" t="n"/>
      <c r="K84" s="7" t="n"/>
      <c r="L84" s="7" t="n"/>
      <c r="M84" s="8" t="n"/>
      <c r="N84" s="9" t="n"/>
      <c r="O84" s="9" t="n"/>
      <c r="P84" s="13">
        <f>IF(OR(L84="",M84="",N84=""),"",IFERROR(L84*((M84/12)*(1+M84/12)^N84)/(((1+M84/12)^N84)-1),""))</f>
        <v/>
      </c>
      <c r="Q84" s="13">
        <f>IF(A84="","",IFERROR(P84*N84,""))</f>
        <v/>
      </c>
      <c r="R84" s="9" t="n"/>
      <c r="S84" s="9" t="n"/>
      <c r="T84" s="6" t="n"/>
      <c r="U84" s="13">
        <f>IF(A84="","",IFERROR(MAX(0,Q84-(R84*P84)),""))</f>
        <v/>
      </c>
      <c r="V84" s="14">
        <f>IF(A84="","",IFERROR(MIN(1,R84/N84),0))</f>
        <v/>
      </c>
      <c r="W84" s="15">
        <f>IF(A84="","",IF(U84&lt;=0,"Quitado",IF(S84&gt;0,"Em atraso",IF(T84="","Sem vencimento",IF(T84&lt;=TODAY()+30,"Vencimento próximo","Em dia")))))</f>
        <v/>
      </c>
      <c r="X84" s="5" t="n"/>
      <c r="Y84" s="15">
        <f>IF(A84="","",IFERROR(VLOOKUP(F84,'Resumo'!$A$16:$D$20,4,FALSE),""))</f>
        <v/>
      </c>
    </row>
    <row r="85">
      <c r="A85" s="4" t="n"/>
      <c r="B85" s="4" t="n"/>
      <c r="C85" s="5" t="n"/>
      <c r="D85" s="5" t="n"/>
      <c r="E85" s="4" t="n"/>
      <c r="F85" s="4" t="n"/>
      <c r="G85" s="4" t="n"/>
      <c r="H85" s="6" t="n"/>
      <c r="I85" s="6" t="n"/>
      <c r="J85" s="5" t="n"/>
      <c r="K85" s="7" t="n"/>
      <c r="L85" s="7" t="n"/>
      <c r="M85" s="8" t="n"/>
      <c r="N85" s="9" t="n"/>
      <c r="O85" s="9" t="n"/>
      <c r="P85" s="10">
        <f>IF(OR(L85="",M85="",N85=""),"",IFERROR(L85*((M85/12)*(1+M85/12)^N85)/(((1+M85/12)^N85)-1),""))</f>
        <v/>
      </c>
      <c r="Q85" s="10">
        <f>IF(A85="","",IFERROR(P85*N85,""))</f>
        <v/>
      </c>
      <c r="R85" s="9" t="n"/>
      <c r="S85" s="9" t="n"/>
      <c r="T85" s="6" t="n"/>
      <c r="U85" s="10">
        <f>IF(A85="","",IFERROR(MAX(0,Q85-(R85*P85)),""))</f>
        <v/>
      </c>
      <c r="V85" s="11">
        <f>IF(A85="","",IFERROR(MIN(1,R85/N85),0))</f>
        <v/>
      </c>
      <c r="W85" s="12">
        <f>IF(A85="","",IF(U85&lt;=0,"Quitado",IF(S85&gt;0,"Em atraso",IF(T85="","Sem vencimento",IF(T85&lt;=TODAY()+30,"Vencimento próximo","Em dia")))))</f>
        <v/>
      </c>
      <c r="X85" s="5" t="n"/>
      <c r="Y85" s="12">
        <f>IF(A85="","",IFERROR(VLOOKUP(F85,'Resumo'!$A$16:$D$20,4,FALSE),""))</f>
        <v/>
      </c>
    </row>
    <row r="86">
      <c r="A86" s="4" t="n"/>
      <c r="B86" s="4" t="n"/>
      <c r="C86" s="5" t="n"/>
      <c r="D86" s="5" t="n"/>
      <c r="E86" s="4" t="n"/>
      <c r="F86" s="4" t="n"/>
      <c r="G86" s="4" t="n"/>
      <c r="H86" s="6" t="n"/>
      <c r="I86" s="6" t="n"/>
      <c r="J86" s="5" t="n"/>
      <c r="K86" s="7" t="n"/>
      <c r="L86" s="7" t="n"/>
      <c r="M86" s="8" t="n"/>
      <c r="N86" s="9" t="n"/>
      <c r="O86" s="9" t="n"/>
      <c r="P86" s="13">
        <f>IF(OR(L86="",M86="",N86=""),"",IFERROR(L86*((M86/12)*(1+M86/12)^N86)/(((1+M86/12)^N86)-1),""))</f>
        <v/>
      </c>
      <c r="Q86" s="13">
        <f>IF(A86="","",IFERROR(P86*N86,""))</f>
        <v/>
      </c>
      <c r="R86" s="9" t="n"/>
      <c r="S86" s="9" t="n"/>
      <c r="T86" s="6" t="n"/>
      <c r="U86" s="13">
        <f>IF(A86="","",IFERROR(MAX(0,Q86-(R86*P86)),""))</f>
        <v/>
      </c>
      <c r="V86" s="14">
        <f>IF(A86="","",IFERROR(MIN(1,R86/N86),0))</f>
        <v/>
      </c>
      <c r="W86" s="15">
        <f>IF(A86="","",IF(U86&lt;=0,"Quitado",IF(S86&gt;0,"Em atraso",IF(T86="","Sem vencimento",IF(T86&lt;=TODAY()+30,"Vencimento próximo","Em dia")))))</f>
        <v/>
      </c>
      <c r="X86" s="5" t="n"/>
      <c r="Y86" s="15">
        <f>IF(A86="","",IFERROR(VLOOKUP(F86,'Resumo'!$A$16:$D$20,4,FALSE),""))</f>
        <v/>
      </c>
    </row>
    <row r="87">
      <c r="A87" s="4" t="n"/>
      <c r="B87" s="4" t="n"/>
      <c r="C87" s="5" t="n"/>
      <c r="D87" s="5" t="n"/>
      <c r="E87" s="4" t="n"/>
      <c r="F87" s="4" t="n"/>
      <c r="G87" s="4" t="n"/>
      <c r="H87" s="6" t="n"/>
      <c r="I87" s="6" t="n"/>
      <c r="J87" s="5" t="n"/>
      <c r="K87" s="7" t="n"/>
      <c r="L87" s="7" t="n"/>
      <c r="M87" s="8" t="n"/>
      <c r="N87" s="9" t="n"/>
      <c r="O87" s="9" t="n"/>
      <c r="P87" s="10">
        <f>IF(OR(L87="",M87="",N87=""),"",IFERROR(L87*((M87/12)*(1+M87/12)^N87)/(((1+M87/12)^N87)-1),""))</f>
        <v/>
      </c>
      <c r="Q87" s="10">
        <f>IF(A87="","",IFERROR(P87*N87,""))</f>
        <v/>
      </c>
      <c r="R87" s="9" t="n"/>
      <c r="S87" s="9" t="n"/>
      <c r="T87" s="6" t="n"/>
      <c r="U87" s="10">
        <f>IF(A87="","",IFERROR(MAX(0,Q87-(R87*P87)),""))</f>
        <v/>
      </c>
      <c r="V87" s="11">
        <f>IF(A87="","",IFERROR(MIN(1,R87/N87),0))</f>
        <v/>
      </c>
      <c r="W87" s="12">
        <f>IF(A87="","",IF(U87&lt;=0,"Quitado",IF(S87&gt;0,"Em atraso",IF(T87="","Sem vencimento",IF(T87&lt;=TODAY()+30,"Vencimento próximo","Em dia")))))</f>
        <v/>
      </c>
      <c r="X87" s="5" t="n"/>
      <c r="Y87" s="12">
        <f>IF(A87="","",IFERROR(VLOOKUP(F87,'Resumo'!$A$16:$D$20,4,FALSE),""))</f>
        <v/>
      </c>
    </row>
    <row r="88">
      <c r="A88" s="4" t="n"/>
      <c r="B88" s="4" t="n"/>
      <c r="C88" s="5" t="n"/>
      <c r="D88" s="5" t="n"/>
      <c r="E88" s="4" t="n"/>
      <c r="F88" s="4" t="n"/>
      <c r="G88" s="4" t="n"/>
      <c r="H88" s="6" t="n"/>
      <c r="I88" s="6" t="n"/>
      <c r="J88" s="5" t="n"/>
      <c r="K88" s="7" t="n"/>
      <c r="L88" s="7" t="n"/>
      <c r="M88" s="8" t="n"/>
      <c r="N88" s="9" t="n"/>
      <c r="O88" s="9" t="n"/>
      <c r="P88" s="13">
        <f>IF(OR(L88="",M88="",N88=""),"",IFERROR(L88*((M88/12)*(1+M88/12)^N88)/(((1+M88/12)^N88)-1),""))</f>
        <v/>
      </c>
      <c r="Q88" s="13">
        <f>IF(A88="","",IFERROR(P88*N88,""))</f>
        <v/>
      </c>
      <c r="R88" s="9" t="n"/>
      <c r="S88" s="9" t="n"/>
      <c r="T88" s="6" t="n"/>
      <c r="U88" s="13">
        <f>IF(A88="","",IFERROR(MAX(0,Q88-(R88*P88)),""))</f>
        <v/>
      </c>
      <c r="V88" s="14">
        <f>IF(A88="","",IFERROR(MIN(1,R88/N88),0))</f>
        <v/>
      </c>
      <c r="W88" s="15">
        <f>IF(A88="","",IF(U88&lt;=0,"Quitado",IF(S88&gt;0,"Em atraso",IF(T88="","Sem vencimento",IF(T88&lt;=TODAY()+30,"Vencimento próximo","Em dia")))))</f>
        <v/>
      </c>
      <c r="X88" s="5" t="n"/>
      <c r="Y88" s="15">
        <f>IF(A88="","",IFERROR(VLOOKUP(F88,'Resumo'!$A$16:$D$20,4,FALSE),""))</f>
        <v/>
      </c>
    </row>
    <row r="89">
      <c r="A89" s="4" t="n"/>
      <c r="B89" s="4" t="n"/>
      <c r="C89" s="5" t="n"/>
      <c r="D89" s="5" t="n"/>
      <c r="E89" s="4" t="n"/>
      <c r="F89" s="4" t="n"/>
      <c r="G89" s="4" t="n"/>
      <c r="H89" s="6" t="n"/>
      <c r="I89" s="6" t="n"/>
      <c r="J89" s="5" t="n"/>
      <c r="K89" s="7" t="n"/>
      <c r="L89" s="7" t="n"/>
      <c r="M89" s="8" t="n"/>
      <c r="N89" s="9" t="n"/>
      <c r="O89" s="9" t="n"/>
      <c r="P89" s="10">
        <f>IF(OR(L89="",M89="",N89=""),"",IFERROR(L89*((M89/12)*(1+M89/12)^N89)/(((1+M89/12)^N89)-1),""))</f>
        <v/>
      </c>
      <c r="Q89" s="10">
        <f>IF(A89="","",IFERROR(P89*N89,""))</f>
        <v/>
      </c>
      <c r="R89" s="9" t="n"/>
      <c r="S89" s="9" t="n"/>
      <c r="T89" s="6" t="n"/>
      <c r="U89" s="10">
        <f>IF(A89="","",IFERROR(MAX(0,Q89-(R89*P89)),""))</f>
        <v/>
      </c>
      <c r="V89" s="11">
        <f>IF(A89="","",IFERROR(MIN(1,R89/N89),0))</f>
        <v/>
      </c>
      <c r="W89" s="12">
        <f>IF(A89="","",IF(U89&lt;=0,"Quitado",IF(S89&gt;0,"Em atraso",IF(T89="","Sem vencimento",IF(T89&lt;=TODAY()+30,"Vencimento próximo","Em dia")))))</f>
        <v/>
      </c>
      <c r="X89" s="5" t="n"/>
      <c r="Y89" s="12">
        <f>IF(A89="","",IFERROR(VLOOKUP(F89,'Resumo'!$A$16:$D$20,4,FALSE),""))</f>
        <v/>
      </c>
    </row>
    <row r="90">
      <c r="A90" s="4" t="n"/>
      <c r="B90" s="4" t="n"/>
      <c r="C90" s="5" t="n"/>
      <c r="D90" s="5" t="n"/>
      <c r="E90" s="4" t="n"/>
      <c r="F90" s="4" t="n"/>
      <c r="G90" s="4" t="n"/>
      <c r="H90" s="6" t="n"/>
      <c r="I90" s="6" t="n"/>
      <c r="J90" s="5" t="n"/>
      <c r="K90" s="7" t="n"/>
      <c r="L90" s="7" t="n"/>
      <c r="M90" s="8" t="n"/>
      <c r="N90" s="9" t="n"/>
      <c r="O90" s="9" t="n"/>
      <c r="P90" s="13">
        <f>IF(OR(L90="",M90="",N90=""),"",IFERROR(L90*((M90/12)*(1+M90/12)^N90)/(((1+M90/12)^N90)-1),""))</f>
        <v/>
      </c>
      <c r="Q90" s="13">
        <f>IF(A90="","",IFERROR(P90*N90,""))</f>
        <v/>
      </c>
      <c r="R90" s="9" t="n"/>
      <c r="S90" s="9" t="n"/>
      <c r="T90" s="6" t="n"/>
      <c r="U90" s="13">
        <f>IF(A90="","",IFERROR(MAX(0,Q90-(R90*P90)),""))</f>
        <v/>
      </c>
      <c r="V90" s="14">
        <f>IF(A90="","",IFERROR(MIN(1,R90/N90),0))</f>
        <v/>
      </c>
      <c r="W90" s="15">
        <f>IF(A90="","",IF(U90&lt;=0,"Quitado",IF(S90&gt;0,"Em atraso",IF(T90="","Sem vencimento",IF(T90&lt;=TODAY()+30,"Vencimento próximo","Em dia")))))</f>
        <v/>
      </c>
      <c r="X90" s="5" t="n"/>
      <c r="Y90" s="15">
        <f>IF(A90="","",IFERROR(VLOOKUP(F90,'Resumo'!$A$16:$D$20,4,FALSE),""))</f>
        <v/>
      </c>
    </row>
    <row r="91">
      <c r="A91" s="4" t="n"/>
      <c r="B91" s="4" t="n"/>
      <c r="C91" s="5" t="n"/>
      <c r="D91" s="5" t="n"/>
      <c r="E91" s="4" t="n"/>
      <c r="F91" s="4" t="n"/>
      <c r="G91" s="4" t="n"/>
      <c r="H91" s="6" t="n"/>
      <c r="I91" s="6" t="n"/>
      <c r="J91" s="5" t="n"/>
      <c r="K91" s="7" t="n"/>
      <c r="L91" s="7" t="n"/>
      <c r="M91" s="8" t="n"/>
      <c r="N91" s="9" t="n"/>
      <c r="O91" s="9" t="n"/>
      <c r="P91" s="10">
        <f>IF(OR(L91="",M91="",N91=""),"",IFERROR(L91*((M91/12)*(1+M91/12)^N91)/(((1+M91/12)^N91)-1),""))</f>
        <v/>
      </c>
      <c r="Q91" s="10">
        <f>IF(A91="","",IFERROR(P91*N91,""))</f>
        <v/>
      </c>
      <c r="R91" s="9" t="n"/>
      <c r="S91" s="9" t="n"/>
      <c r="T91" s="6" t="n"/>
      <c r="U91" s="10">
        <f>IF(A91="","",IFERROR(MAX(0,Q91-(R91*P91)),""))</f>
        <v/>
      </c>
      <c r="V91" s="11">
        <f>IF(A91="","",IFERROR(MIN(1,R91/N91),0))</f>
        <v/>
      </c>
      <c r="W91" s="12">
        <f>IF(A91="","",IF(U91&lt;=0,"Quitado",IF(S91&gt;0,"Em atraso",IF(T91="","Sem vencimento",IF(T91&lt;=TODAY()+30,"Vencimento próximo","Em dia")))))</f>
        <v/>
      </c>
      <c r="X91" s="5" t="n"/>
      <c r="Y91" s="12">
        <f>IF(A91="","",IFERROR(VLOOKUP(F91,'Resumo'!$A$16:$D$20,4,FALSE),""))</f>
        <v/>
      </c>
    </row>
    <row r="92">
      <c r="A92" s="4" t="n"/>
      <c r="B92" s="4" t="n"/>
      <c r="C92" s="5" t="n"/>
      <c r="D92" s="5" t="n"/>
      <c r="E92" s="4" t="n"/>
      <c r="F92" s="4" t="n"/>
      <c r="G92" s="4" t="n"/>
      <c r="H92" s="6" t="n"/>
      <c r="I92" s="6" t="n"/>
      <c r="J92" s="5" t="n"/>
      <c r="K92" s="7" t="n"/>
      <c r="L92" s="7" t="n"/>
      <c r="M92" s="8" t="n"/>
      <c r="N92" s="9" t="n"/>
      <c r="O92" s="9" t="n"/>
      <c r="P92" s="13">
        <f>IF(OR(L92="",M92="",N92=""),"",IFERROR(L92*((M92/12)*(1+M92/12)^N92)/(((1+M92/12)^N92)-1),""))</f>
        <v/>
      </c>
      <c r="Q92" s="13">
        <f>IF(A92="","",IFERROR(P92*N92,""))</f>
        <v/>
      </c>
      <c r="R92" s="9" t="n"/>
      <c r="S92" s="9" t="n"/>
      <c r="T92" s="6" t="n"/>
      <c r="U92" s="13">
        <f>IF(A92="","",IFERROR(MAX(0,Q92-(R92*P92)),""))</f>
        <v/>
      </c>
      <c r="V92" s="14">
        <f>IF(A92="","",IFERROR(MIN(1,R92/N92),0))</f>
        <v/>
      </c>
      <c r="W92" s="15">
        <f>IF(A92="","",IF(U92&lt;=0,"Quitado",IF(S92&gt;0,"Em atraso",IF(T92="","Sem vencimento",IF(T92&lt;=TODAY()+30,"Vencimento próximo","Em dia")))))</f>
        <v/>
      </c>
      <c r="X92" s="5" t="n"/>
      <c r="Y92" s="15">
        <f>IF(A92="","",IFERROR(VLOOKUP(F92,'Resumo'!$A$16:$D$20,4,FALSE),""))</f>
        <v/>
      </c>
    </row>
    <row r="93">
      <c r="A93" s="4" t="n"/>
      <c r="B93" s="4" t="n"/>
      <c r="C93" s="5" t="n"/>
      <c r="D93" s="5" t="n"/>
      <c r="E93" s="4" t="n"/>
      <c r="F93" s="4" t="n"/>
      <c r="G93" s="4" t="n"/>
      <c r="H93" s="6" t="n"/>
      <c r="I93" s="6" t="n"/>
      <c r="J93" s="5" t="n"/>
      <c r="K93" s="7" t="n"/>
      <c r="L93" s="7" t="n"/>
      <c r="M93" s="8" t="n"/>
      <c r="N93" s="9" t="n"/>
      <c r="O93" s="9" t="n"/>
      <c r="P93" s="10">
        <f>IF(OR(L93="",M93="",N93=""),"",IFERROR(L93*((M93/12)*(1+M93/12)^N93)/(((1+M93/12)^N93)-1),""))</f>
        <v/>
      </c>
      <c r="Q93" s="10">
        <f>IF(A93="","",IFERROR(P93*N93,""))</f>
        <v/>
      </c>
      <c r="R93" s="9" t="n"/>
      <c r="S93" s="9" t="n"/>
      <c r="T93" s="6" t="n"/>
      <c r="U93" s="10">
        <f>IF(A93="","",IFERROR(MAX(0,Q93-(R93*P93)),""))</f>
        <v/>
      </c>
      <c r="V93" s="11">
        <f>IF(A93="","",IFERROR(MIN(1,R93/N93),0))</f>
        <v/>
      </c>
      <c r="W93" s="12">
        <f>IF(A93="","",IF(U93&lt;=0,"Quitado",IF(S93&gt;0,"Em atraso",IF(T93="","Sem vencimento",IF(T93&lt;=TODAY()+30,"Vencimento próximo","Em dia")))))</f>
        <v/>
      </c>
      <c r="X93" s="5" t="n"/>
      <c r="Y93" s="12">
        <f>IF(A93="","",IFERROR(VLOOKUP(F93,'Resumo'!$A$16:$D$20,4,FALSE),""))</f>
        <v/>
      </c>
    </row>
    <row r="94">
      <c r="A94" s="4" t="n"/>
      <c r="B94" s="4" t="n"/>
      <c r="C94" s="5" t="n"/>
      <c r="D94" s="5" t="n"/>
      <c r="E94" s="4" t="n"/>
      <c r="F94" s="4" t="n"/>
      <c r="G94" s="4" t="n"/>
      <c r="H94" s="6" t="n"/>
      <c r="I94" s="6" t="n"/>
      <c r="J94" s="5" t="n"/>
      <c r="K94" s="7" t="n"/>
      <c r="L94" s="7" t="n"/>
      <c r="M94" s="8" t="n"/>
      <c r="N94" s="9" t="n"/>
      <c r="O94" s="9" t="n"/>
      <c r="P94" s="13">
        <f>IF(OR(L94="",M94="",N94=""),"",IFERROR(L94*((M94/12)*(1+M94/12)^N94)/(((1+M94/12)^N94)-1),""))</f>
        <v/>
      </c>
      <c r="Q94" s="13">
        <f>IF(A94="","",IFERROR(P94*N94,""))</f>
        <v/>
      </c>
      <c r="R94" s="9" t="n"/>
      <c r="S94" s="9" t="n"/>
      <c r="T94" s="6" t="n"/>
      <c r="U94" s="13">
        <f>IF(A94="","",IFERROR(MAX(0,Q94-(R94*P94)),""))</f>
        <v/>
      </c>
      <c r="V94" s="14">
        <f>IF(A94="","",IFERROR(MIN(1,R94/N94),0))</f>
        <v/>
      </c>
      <c r="W94" s="15">
        <f>IF(A94="","",IF(U94&lt;=0,"Quitado",IF(S94&gt;0,"Em atraso",IF(T94="","Sem vencimento",IF(T94&lt;=TODAY()+30,"Vencimento próximo","Em dia")))))</f>
        <v/>
      </c>
      <c r="X94" s="5" t="n"/>
      <c r="Y94" s="15">
        <f>IF(A94="","",IFERROR(VLOOKUP(F94,'Resumo'!$A$16:$D$20,4,FALSE),""))</f>
        <v/>
      </c>
    </row>
    <row r="95">
      <c r="A95" s="4" t="n"/>
      <c r="B95" s="4" t="n"/>
      <c r="C95" s="5" t="n"/>
      <c r="D95" s="5" t="n"/>
      <c r="E95" s="4" t="n"/>
      <c r="F95" s="4" t="n"/>
      <c r="G95" s="4" t="n"/>
      <c r="H95" s="6" t="n"/>
      <c r="I95" s="6" t="n"/>
      <c r="J95" s="5" t="n"/>
      <c r="K95" s="7" t="n"/>
      <c r="L95" s="7" t="n"/>
      <c r="M95" s="8" t="n"/>
      <c r="N95" s="9" t="n"/>
      <c r="O95" s="9" t="n"/>
      <c r="P95" s="10">
        <f>IF(OR(L95="",M95="",N95=""),"",IFERROR(L95*((M95/12)*(1+M95/12)^N95)/(((1+M95/12)^N95)-1),""))</f>
        <v/>
      </c>
      <c r="Q95" s="10">
        <f>IF(A95="","",IFERROR(P95*N95,""))</f>
        <v/>
      </c>
      <c r="R95" s="9" t="n"/>
      <c r="S95" s="9" t="n"/>
      <c r="T95" s="6" t="n"/>
      <c r="U95" s="10">
        <f>IF(A95="","",IFERROR(MAX(0,Q95-(R95*P95)),""))</f>
        <v/>
      </c>
      <c r="V95" s="11">
        <f>IF(A95="","",IFERROR(MIN(1,R95/N95),0))</f>
        <v/>
      </c>
      <c r="W95" s="12">
        <f>IF(A95="","",IF(U95&lt;=0,"Quitado",IF(S95&gt;0,"Em atraso",IF(T95="","Sem vencimento",IF(T95&lt;=TODAY()+30,"Vencimento próximo","Em dia")))))</f>
        <v/>
      </c>
      <c r="X95" s="5" t="n"/>
      <c r="Y95" s="12">
        <f>IF(A95="","",IFERROR(VLOOKUP(F95,'Resumo'!$A$16:$D$20,4,FALSE),""))</f>
        <v/>
      </c>
    </row>
    <row r="96">
      <c r="A96" s="4" t="n"/>
      <c r="B96" s="4" t="n"/>
      <c r="C96" s="5" t="n"/>
      <c r="D96" s="5" t="n"/>
      <c r="E96" s="4" t="n"/>
      <c r="F96" s="4" t="n"/>
      <c r="G96" s="4" t="n"/>
      <c r="H96" s="6" t="n"/>
      <c r="I96" s="6" t="n"/>
      <c r="J96" s="5" t="n"/>
      <c r="K96" s="7" t="n"/>
      <c r="L96" s="7" t="n"/>
      <c r="M96" s="8" t="n"/>
      <c r="N96" s="9" t="n"/>
      <c r="O96" s="9" t="n"/>
      <c r="P96" s="13">
        <f>IF(OR(L96="",M96="",N96=""),"",IFERROR(L96*((M96/12)*(1+M96/12)^N96)/(((1+M96/12)^N96)-1),""))</f>
        <v/>
      </c>
      <c r="Q96" s="13">
        <f>IF(A96="","",IFERROR(P96*N96,""))</f>
        <v/>
      </c>
      <c r="R96" s="9" t="n"/>
      <c r="S96" s="9" t="n"/>
      <c r="T96" s="6" t="n"/>
      <c r="U96" s="13">
        <f>IF(A96="","",IFERROR(MAX(0,Q96-(R96*P96)),""))</f>
        <v/>
      </c>
      <c r="V96" s="14">
        <f>IF(A96="","",IFERROR(MIN(1,R96/N96),0))</f>
        <v/>
      </c>
      <c r="W96" s="15">
        <f>IF(A96="","",IF(U96&lt;=0,"Quitado",IF(S96&gt;0,"Em atraso",IF(T96="","Sem vencimento",IF(T96&lt;=TODAY()+30,"Vencimento próximo","Em dia")))))</f>
        <v/>
      </c>
      <c r="X96" s="5" t="n"/>
      <c r="Y96" s="15">
        <f>IF(A96="","",IFERROR(VLOOKUP(F96,'Resumo'!$A$16:$D$20,4,FALSE),""))</f>
        <v/>
      </c>
    </row>
    <row r="97">
      <c r="A97" s="4" t="n"/>
      <c r="B97" s="4" t="n"/>
      <c r="C97" s="5" t="n"/>
      <c r="D97" s="5" t="n"/>
      <c r="E97" s="4" t="n"/>
      <c r="F97" s="4" t="n"/>
      <c r="G97" s="4" t="n"/>
      <c r="H97" s="6" t="n"/>
      <c r="I97" s="6" t="n"/>
      <c r="J97" s="5" t="n"/>
      <c r="K97" s="7" t="n"/>
      <c r="L97" s="7" t="n"/>
      <c r="M97" s="8" t="n"/>
      <c r="N97" s="9" t="n"/>
      <c r="O97" s="9" t="n"/>
      <c r="P97" s="10">
        <f>IF(OR(L97="",M97="",N97=""),"",IFERROR(L97*((M97/12)*(1+M97/12)^N97)/(((1+M97/12)^N97)-1),""))</f>
        <v/>
      </c>
      <c r="Q97" s="10">
        <f>IF(A97="","",IFERROR(P97*N97,""))</f>
        <v/>
      </c>
      <c r="R97" s="9" t="n"/>
      <c r="S97" s="9" t="n"/>
      <c r="T97" s="6" t="n"/>
      <c r="U97" s="10">
        <f>IF(A97="","",IFERROR(MAX(0,Q97-(R97*P97)),""))</f>
        <v/>
      </c>
      <c r="V97" s="11">
        <f>IF(A97="","",IFERROR(MIN(1,R97/N97),0))</f>
        <v/>
      </c>
      <c r="W97" s="12">
        <f>IF(A97="","",IF(U97&lt;=0,"Quitado",IF(S97&gt;0,"Em atraso",IF(T97="","Sem vencimento",IF(T97&lt;=TODAY()+30,"Vencimento próximo","Em dia")))))</f>
        <v/>
      </c>
      <c r="X97" s="5" t="n"/>
      <c r="Y97" s="12">
        <f>IF(A97="","",IFERROR(VLOOKUP(F97,'Resumo'!$A$16:$D$20,4,FALSE),""))</f>
        <v/>
      </c>
    </row>
    <row r="98">
      <c r="A98" s="4" t="n"/>
      <c r="B98" s="4" t="n"/>
      <c r="C98" s="5" t="n"/>
      <c r="D98" s="5" t="n"/>
      <c r="E98" s="4" t="n"/>
      <c r="F98" s="4" t="n"/>
      <c r="G98" s="4" t="n"/>
      <c r="H98" s="6" t="n"/>
      <c r="I98" s="6" t="n"/>
      <c r="J98" s="5" t="n"/>
      <c r="K98" s="7" t="n"/>
      <c r="L98" s="7" t="n"/>
      <c r="M98" s="8" t="n"/>
      <c r="N98" s="9" t="n"/>
      <c r="O98" s="9" t="n"/>
      <c r="P98" s="13">
        <f>IF(OR(L98="",M98="",N98=""),"",IFERROR(L98*((M98/12)*(1+M98/12)^N98)/(((1+M98/12)^N98)-1),""))</f>
        <v/>
      </c>
      <c r="Q98" s="13">
        <f>IF(A98="","",IFERROR(P98*N98,""))</f>
        <v/>
      </c>
      <c r="R98" s="9" t="n"/>
      <c r="S98" s="9" t="n"/>
      <c r="T98" s="6" t="n"/>
      <c r="U98" s="13">
        <f>IF(A98="","",IFERROR(MAX(0,Q98-(R98*P98)),""))</f>
        <v/>
      </c>
      <c r="V98" s="14">
        <f>IF(A98="","",IFERROR(MIN(1,R98/N98),0))</f>
        <v/>
      </c>
      <c r="W98" s="15">
        <f>IF(A98="","",IF(U98&lt;=0,"Quitado",IF(S98&gt;0,"Em atraso",IF(T98="","Sem vencimento",IF(T98&lt;=TODAY()+30,"Vencimento próximo","Em dia")))))</f>
        <v/>
      </c>
      <c r="X98" s="5" t="n"/>
      <c r="Y98" s="15">
        <f>IF(A98="","",IFERROR(VLOOKUP(F98,'Resumo'!$A$16:$D$20,4,FALSE),""))</f>
        <v/>
      </c>
    </row>
    <row r="99">
      <c r="A99" s="4" t="n"/>
      <c r="B99" s="4" t="n"/>
      <c r="C99" s="5" t="n"/>
      <c r="D99" s="5" t="n"/>
      <c r="E99" s="4" t="n"/>
      <c r="F99" s="4" t="n"/>
      <c r="G99" s="4" t="n"/>
      <c r="H99" s="6" t="n"/>
      <c r="I99" s="6" t="n"/>
      <c r="J99" s="5" t="n"/>
      <c r="K99" s="7" t="n"/>
      <c r="L99" s="7" t="n"/>
      <c r="M99" s="8" t="n"/>
      <c r="N99" s="9" t="n"/>
      <c r="O99" s="9" t="n"/>
      <c r="P99" s="10">
        <f>IF(OR(L99="",M99="",N99=""),"",IFERROR(L99*((M99/12)*(1+M99/12)^N99)/(((1+M99/12)^N99)-1),""))</f>
        <v/>
      </c>
      <c r="Q99" s="10">
        <f>IF(A99="","",IFERROR(P99*N99,""))</f>
        <v/>
      </c>
      <c r="R99" s="9" t="n"/>
      <c r="S99" s="9" t="n"/>
      <c r="T99" s="6" t="n"/>
      <c r="U99" s="10">
        <f>IF(A99="","",IFERROR(MAX(0,Q99-(R99*P99)),""))</f>
        <v/>
      </c>
      <c r="V99" s="11">
        <f>IF(A99="","",IFERROR(MIN(1,R99/N99),0))</f>
        <v/>
      </c>
      <c r="W99" s="12">
        <f>IF(A99="","",IF(U99&lt;=0,"Quitado",IF(S99&gt;0,"Em atraso",IF(T99="","Sem vencimento",IF(T99&lt;=TODAY()+30,"Vencimento próximo","Em dia")))))</f>
        <v/>
      </c>
      <c r="X99" s="5" t="n"/>
      <c r="Y99" s="12">
        <f>IF(A99="","",IFERROR(VLOOKUP(F99,'Resumo'!$A$16:$D$20,4,FALSE),""))</f>
        <v/>
      </c>
    </row>
    <row r="100">
      <c r="A100" s="4" t="n"/>
      <c r="B100" s="4" t="n"/>
      <c r="C100" s="5" t="n"/>
      <c r="D100" s="5" t="n"/>
      <c r="E100" s="4" t="n"/>
      <c r="F100" s="4" t="n"/>
      <c r="G100" s="4" t="n"/>
      <c r="H100" s="6" t="n"/>
      <c r="I100" s="6" t="n"/>
      <c r="J100" s="5" t="n"/>
      <c r="K100" s="7" t="n"/>
      <c r="L100" s="7" t="n"/>
      <c r="M100" s="8" t="n"/>
      <c r="N100" s="9" t="n"/>
      <c r="O100" s="9" t="n"/>
      <c r="P100" s="13">
        <f>IF(OR(L100="",M100="",N100=""),"",IFERROR(L100*((M100/12)*(1+M100/12)^N100)/(((1+M100/12)^N100)-1),""))</f>
        <v/>
      </c>
      <c r="Q100" s="13">
        <f>IF(A100="","",IFERROR(P100*N100,""))</f>
        <v/>
      </c>
      <c r="R100" s="9" t="n"/>
      <c r="S100" s="9" t="n"/>
      <c r="T100" s="6" t="n"/>
      <c r="U100" s="13">
        <f>IF(A100="","",IFERROR(MAX(0,Q100-(R100*P100)),""))</f>
        <v/>
      </c>
      <c r="V100" s="14">
        <f>IF(A100="","",IFERROR(MIN(1,R100/N100),0))</f>
        <v/>
      </c>
      <c r="W100" s="15">
        <f>IF(A100="","",IF(U100&lt;=0,"Quitado",IF(S100&gt;0,"Em atraso",IF(T100="","Sem vencimento",IF(T100&lt;=TODAY()+30,"Vencimento próximo","Em dia")))))</f>
        <v/>
      </c>
      <c r="X100" s="5" t="n"/>
      <c r="Y100" s="15">
        <f>IF(A100="","",IFERROR(VLOOKUP(F100,'Resumo'!$A$16:$D$20,4,FALSE),""))</f>
        <v/>
      </c>
    </row>
    <row r="101">
      <c r="A101" s="4" t="n"/>
      <c r="B101" s="4" t="n"/>
      <c r="C101" s="5" t="n"/>
      <c r="D101" s="5" t="n"/>
      <c r="E101" s="4" t="n"/>
      <c r="F101" s="4" t="n"/>
      <c r="G101" s="4" t="n"/>
      <c r="H101" s="6" t="n"/>
      <c r="I101" s="6" t="n"/>
      <c r="J101" s="5" t="n"/>
      <c r="K101" s="7" t="n"/>
      <c r="L101" s="7" t="n"/>
      <c r="M101" s="8" t="n"/>
      <c r="N101" s="9" t="n"/>
      <c r="O101" s="9" t="n"/>
      <c r="P101" s="10">
        <f>IF(OR(L101="",M101="",N101=""),"",IFERROR(L101*((M101/12)*(1+M101/12)^N101)/(((1+M101/12)^N101)-1),""))</f>
        <v/>
      </c>
      <c r="Q101" s="10">
        <f>IF(A101="","",IFERROR(P101*N101,""))</f>
        <v/>
      </c>
      <c r="R101" s="9" t="n"/>
      <c r="S101" s="9" t="n"/>
      <c r="T101" s="6" t="n"/>
      <c r="U101" s="10">
        <f>IF(A101="","",IFERROR(MAX(0,Q101-(R101*P101)),""))</f>
        <v/>
      </c>
      <c r="V101" s="11">
        <f>IF(A101="","",IFERROR(MIN(1,R101/N101),0))</f>
        <v/>
      </c>
      <c r="W101" s="12">
        <f>IF(A101="","",IF(U101&lt;=0,"Quitado",IF(S101&gt;0,"Em atraso",IF(T101="","Sem vencimento",IF(T101&lt;=TODAY()+30,"Vencimento próximo","Em dia")))))</f>
        <v/>
      </c>
      <c r="X101" s="5" t="n"/>
      <c r="Y101" s="12">
        <f>IF(A101="","",IFERROR(VLOOKUP(F101,'Resumo'!$A$16:$D$20,4,FALSE),""))</f>
        <v/>
      </c>
    </row>
    <row r="102">
      <c r="A102" s="4" t="n"/>
      <c r="B102" s="4" t="n"/>
      <c r="C102" s="5" t="n"/>
      <c r="D102" s="5" t="n"/>
      <c r="E102" s="4" t="n"/>
      <c r="F102" s="4" t="n"/>
      <c r="G102" s="4" t="n"/>
      <c r="H102" s="6" t="n"/>
      <c r="I102" s="6" t="n"/>
      <c r="J102" s="5" t="n"/>
      <c r="K102" s="7" t="n"/>
      <c r="L102" s="7" t="n"/>
      <c r="M102" s="8" t="n"/>
      <c r="N102" s="9" t="n"/>
      <c r="O102" s="9" t="n"/>
      <c r="P102" s="13">
        <f>IF(OR(L102="",M102="",N102=""),"",IFERROR(L102*((M102/12)*(1+M102/12)^N102)/(((1+M102/12)^N102)-1),""))</f>
        <v/>
      </c>
      <c r="Q102" s="13">
        <f>IF(A102="","",IFERROR(P102*N102,""))</f>
        <v/>
      </c>
      <c r="R102" s="9" t="n"/>
      <c r="S102" s="9" t="n"/>
      <c r="T102" s="6" t="n"/>
      <c r="U102" s="13">
        <f>IF(A102="","",IFERROR(MAX(0,Q102-(R102*P102)),""))</f>
        <v/>
      </c>
      <c r="V102" s="14">
        <f>IF(A102="","",IFERROR(MIN(1,R102/N102),0))</f>
        <v/>
      </c>
      <c r="W102" s="15">
        <f>IF(A102="","",IF(U102&lt;=0,"Quitado",IF(S102&gt;0,"Em atraso",IF(T102="","Sem vencimento",IF(T102&lt;=TODAY()+30,"Vencimento próximo","Em dia")))))</f>
        <v/>
      </c>
      <c r="X102" s="5" t="n"/>
      <c r="Y102" s="15">
        <f>IF(A102="","",IFERROR(VLOOKUP(F102,'Resumo'!$A$16:$D$20,4,FALSE),""))</f>
        <v/>
      </c>
    </row>
    <row r="103">
      <c r="A103" s="4" t="n"/>
      <c r="B103" s="4" t="n"/>
      <c r="C103" s="5" t="n"/>
      <c r="D103" s="5" t="n"/>
      <c r="E103" s="4" t="n"/>
      <c r="F103" s="4" t="n"/>
      <c r="G103" s="4" t="n"/>
      <c r="H103" s="6" t="n"/>
      <c r="I103" s="6" t="n"/>
      <c r="J103" s="5" t="n"/>
      <c r="K103" s="7" t="n"/>
      <c r="L103" s="7" t="n"/>
      <c r="M103" s="8" t="n"/>
      <c r="N103" s="9" t="n"/>
      <c r="O103" s="9" t="n"/>
      <c r="P103" s="10">
        <f>IF(OR(L103="",M103="",N103=""),"",IFERROR(L103*((M103/12)*(1+M103/12)^N103)/(((1+M103/12)^N103)-1),""))</f>
        <v/>
      </c>
      <c r="Q103" s="10">
        <f>IF(A103="","",IFERROR(P103*N103,""))</f>
        <v/>
      </c>
      <c r="R103" s="9" t="n"/>
      <c r="S103" s="9" t="n"/>
      <c r="T103" s="6" t="n"/>
      <c r="U103" s="10">
        <f>IF(A103="","",IFERROR(MAX(0,Q103-(R103*P103)),""))</f>
        <v/>
      </c>
      <c r="V103" s="11">
        <f>IF(A103="","",IFERROR(MIN(1,R103/N103),0))</f>
        <v/>
      </c>
      <c r="W103" s="12">
        <f>IF(A103="","",IF(U103&lt;=0,"Quitado",IF(S103&gt;0,"Em atraso",IF(T103="","Sem vencimento",IF(T103&lt;=TODAY()+30,"Vencimento próximo","Em dia")))))</f>
        <v/>
      </c>
      <c r="X103" s="5" t="n"/>
      <c r="Y103" s="12">
        <f>IF(A103="","",IFERROR(VLOOKUP(F103,'Resumo'!$A$16:$D$20,4,FALSE),""))</f>
        <v/>
      </c>
    </row>
    <row r="104">
      <c r="A104" s="4" t="n"/>
      <c r="B104" s="4" t="n"/>
      <c r="C104" s="5" t="n"/>
      <c r="D104" s="5" t="n"/>
      <c r="E104" s="4" t="n"/>
      <c r="F104" s="4" t="n"/>
      <c r="G104" s="4" t="n"/>
      <c r="H104" s="6" t="n"/>
      <c r="I104" s="6" t="n"/>
      <c r="J104" s="5" t="n"/>
      <c r="K104" s="7" t="n"/>
      <c r="L104" s="7" t="n"/>
      <c r="M104" s="8" t="n"/>
      <c r="N104" s="9" t="n"/>
      <c r="O104" s="9" t="n"/>
      <c r="P104" s="13">
        <f>IF(OR(L104="",M104="",N104=""),"",IFERROR(L104*((M104/12)*(1+M104/12)^N104)/(((1+M104/12)^N104)-1),""))</f>
        <v/>
      </c>
      <c r="Q104" s="13">
        <f>IF(A104="","",IFERROR(P104*N104,""))</f>
        <v/>
      </c>
      <c r="R104" s="9" t="n"/>
      <c r="S104" s="9" t="n"/>
      <c r="T104" s="6" t="n"/>
      <c r="U104" s="13">
        <f>IF(A104="","",IFERROR(MAX(0,Q104-(R104*P104)),""))</f>
        <v/>
      </c>
      <c r="V104" s="14">
        <f>IF(A104="","",IFERROR(MIN(1,R104/N104),0))</f>
        <v/>
      </c>
      <c r="W104" s="15">
        <f>IF(A104="","",IF(U104&lt;=0,"Quitado",IF(S104&gt;0,"Em atraso",IF(T104="","Sem vencimento",IF(T104&lt;=TODAY()+30,"Vencimento próximo","Em dia")))))</f>
        <v/>
      </c>
      <c r="X104" s="5" t="n"/>
      <c r="Y104" s="15">
        <f>IF(A104="","",IFERROR(VLOOKUP(F104,'Resumo'!$A$16:$D$20,4,FALSE),""))</f>
        <v/>
      </c>
    </row>
  </sheetData>
  <autoFilter ref="A4:Y104"/>
  <mergeCells count="2">
    <mergeCell ref="A1:Y1"/>
    <mergeCell ref="A2:Y2"/>
  </mergeCells>
  <conditionalFormatting sqref="W5:W104">
    <cfRule type="expression" priority="1" dxfId="0">
      <formula>$W5="Em atraso"</formula>
    </cfRule>
    <cfRule type="expression" priority="2" dxfId="1">
      <formula>OR($W5="Em dia",$W5="Quitado")</formula>
    </cfRule>
    <cfRule type="expression" priority="3" dxfId="2">
      <formula>$W5="Vencimento próximo"</formula>
    </cfRule>
  </conditionalFormatting>
  <conditionalFormatting sqref="S5:S104">
    <cfRule type="cellIs" priority="4" operator="greaterThan" dxfId="0">
      <formula>0</formula>
    </cfRule>
  </conditionalFormatting>
  <conditionalFormatting sqref="T5:T104">
    <cfRule type="expression" priority="5" dxfId="2">
      <formula>AND($T5&lt;&gt;"",$T5&lt;=TODAY()+30,$T5&gt;=TODAY(),$W5&lt;&gt;"Quitado")</formula>
    </cfRule>
  </conditionalFormatting>
  <dataValidations count="6">
    <dataValidation sqref="F5:F104" showErrorMessage="1" showInputMessage="1" allowBlank="1" type="list">
      <formula1>"Banco do Brasil,Caixa,Itaú,Bradesco,Sicredi"</formula1>
    </dataValidation>
    <dataValidation sqref="G5:G104" showErrorMessage="1" showInputMessage="1" allowBlank="1" type="list">
      <formula1>"MEI,Simples Nacional,Lucro Presumido"</formula1>
    </dataValidation>
    <dataValidation sqref="J5:J104" showErrorMessage="1" showInputMessage="1" allowBlank="1" type="list">
      <formula1>"Capital de giro,Compra de equipamentos,Estoque,Reforma"</formula1>
    </dataValidation>
    <dataValidation sqref="K5:L104" showErrorMessage="1" showInputMessage="1" allowBlank="1" type="decimal" operator="between">
      <formula1>0</formula1>
      <formula2>100000000</formula2>
    </dataValidation>
    <dataValidation sqref="M5:M104" showErrorMessage="1" showInputMessage="1" allowBlank="1" type="decimal" operator="between">
      <formula1>0</formula1>
      <formula2>1</formula2>
    </dataValidation>
    <dataValidation sqref="N5:O104 R5:S104" showErrorMessage="1" showInputMessage="1" allowBlank="1" type="whole" operator="between">
      <formula1>0</formula1>
      <formula2>600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0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4" customWidth="1" min="3" max="3"/>
    <col width="28" customWidth="1" min="4" max="4"/>
    <col width="18" customWidth="1" min="5" max="5"/>
    <col width="22" customWidth="1" min="6" max="6"/>
    <col width="18" customWidth="1" min="7" max="7"/>
    <col width="18" customWidth="1" min="8" max="8"/>
    <col width="4" customWidth="1" min="9" max="9"/>
    <col width="28" customWidth="1" min="10" max="10"/>
    <col width="18" customWidth="1" min="11" max="11"/>
    <col width="4" customWidth="1" min="12" max="12"/>
    <col width="4" customWidth="1" min="13" max="13"/>
    <col width="4" customWidth="1" min="14" max="14"/>
  </cols>
  <sheetData>
    <row r="1" ht="30" customHeight="1">
      <c r="A1" s="1" t="inlineStr">
        <is>
          <t>DASHBOARD EXECUTIVO | PRONAMPE</t>
        </is>
      </c>
    </row>
    <row r="2">
      <c r="A2" s="2" t="inlineStr">
        <is>
          <t>Indicadores calculados sobre a faixa operacional completa de 100 registros.</t>
        </is>
      </c>
    </row>
    <row r="3"/>
    <row r="4" ht="29" customHeight="1">
      <c r="A4" s="16" t="inlineStr">
        <is>
          <t>Total de operações</t>
        </is>
      </c>
      <c r="B4" s="17">
        <f>COUNTA('Operações'!$A$5:$A$104)</f>
        <v/>
      </c>
      <c r="D4" s="16" t="inlineStr">
        <is>
          <t>Valor total solicitado</t>
        </is>
      </c>
      <c r="E4" s="18">
        <f>SUM('Operações'!$K$5:$K$104)</f>
        <v/>
      </c>
      <c r="G4" s="16" t="inlineStr">
        <is>
          <t>Valor total aprovado</t>
        </is>
      </c>
      <c r="H4" s="18">
        <f>SUM('Operações'!$L$5:$L$104)</f>
        <v/>
      </c>
      <c r="J4" s="16" t="inlineStr">
        <is>
          <t>Ticket médio aprovado</t>
        </is>
      </c>
      <c r="K4" s="18">
        <f>IFERROR(AVERAGE('Operações'!$L$5:$L$104),0)</f>
        <v/>
      </c>
    </row>
    <row r="5"/>
    <row r="6" ht="29" customHeight="1">
      <c r="A6" s="16" t="inlineStr">
        <is>
          <t>Total de parcelas em atraso</t>
        </is>
      </c>
      <c r="B6" s="17">
        <f>SUM('Operações'!$S$5:$S$104)</f>
        <v/>
      </c>
      <c r="D6" s="16" t="inlineStr">
        <is>
          <t>Percentual médio quitado</t>
        </is>
      </c>
      <c r="E6" s="19">
        <f>IFERROR(AVERAGE('Operações'!$V$5:$V$104),0)</f>
        <v/>
      </c>
      <c r="G6" s="16" t="inlineStr">
        <is>
          <t>Operações em atraso</t>
        </is>
      </c>
      <c r="H6" s="17">
        <f>COUNTIF('Operações'!$W$5:$W$104,"Em atraso")</f>
        <v/>
      </c>
      <c r="J6" s="16" t="inlineStr">
        <is>
          <t>Operações quitadas</t>
        </is>
      </c>
      <c r="K6" s="17">
        <f>COUNTIF('Operações'!$W$5:$W$104,"Quitado")</f>
        <v/>
      </c>
    </row>
    <row r="7"/>
    <row r="8"/>
    <row r="9"/>
    <row r="10"/>
    <row r="11"/>
    <row r="12"/>
    <row r="13"/>
    <row r="14">
      <c r="A14" s="20" t="inlineStr">
        <is>
          <t>Análise por instituição financeira</t>
        </is>
      </c>
      <c r="F14" s="20" t="inlineStr">
        <is>
          <t>Distribuição por situação</t>
        </is>
      </c>
      <c r="J14" s="20" t="inlineStr">
        <is>
          <t>Valor aprovado por finalidade</t>
        </is>
      </c>
    </row>
    <row r="15">
      <c r="A15" s="3" t="inlineStr">
        <is>
          <t>Banco/instituição financeira</t>
        </is>
      </c>
      <c r="B15" s="3" t="inlineStr">
        <is>
          <t>Quantidade de operações</t>
        </is>
      </c>
      <c r="C15" s="3" t="inlineStr">
        <is>
          <t>Valor aprovado</t>
        </is>
      </c>
      <c r="D15" s="3" t="inlineStr">
        <is>
          <t>Taxa média anual</t>
        </is>
      </c>
      <c r="F15" s="3" t="inlineStr">
        <is>
          <t>Situação</t>
        </is>
      </c>
      <c r="G15" s="3" t="inlineStr">
        <is>
          <t>Quantidade</t>
        </is>
      </c>
      <c r="J15" s="3" t="inlineStr">
        <is>
          <t>Finalidade do crédito</t>
        </is>
      </c>
      <c r="K15" s="3" t="inlineStr">
        <is>
          <t>Valor aprovado</t>
        </is>
      </c>
    </row>
    <row r="16">
      <c r="A16" s="21" t="inlineStr">
        <is>
          <t>Banco do Brasil</t>
        </is>
      </c>
      <c r="B16" s="22">
        <f>COUNTIF('Operações'!$F$5:$F$104,A16)</f>
        <v/>
      </c>
      <c r="C16" s="23">
        <f>SUMIF('Operações'!$F$5:$F$104,A16,'Operações'!$L$5:$L$104)</f>
        <v/>
      </c>
      <c r="D16" s="24">
        <f>IFERROR(AVERAGEIF('Operações'!$F$5:$F$104,A16,'Operações'!$M$5:$M$104),0)</f>
        <v/>
      </c>
      <c r="F16" s="21" t="inlineStr">
        <is>
          <t>Em dia</t>
        </is>
      </c>
      <c r="G16" s="22">
        <f>COUNTIF('Operações'!$W$5:$W$104,F16)</f>
        <v/>
      </c>
      <c r="J16" s="21" t="inlineStr">
        <is>
          <t>Capital de giro</t>
        </is>
      </c>
      <c r="K16" s="25">
        <f>SUMIF('Operações'!$J$5:$J$104,J16,'Operações'!$L$5:$L$104)</f>
        <v/>
      </c>
    </row>
    <row r="17">
      <c r="A17" s="26" t="inlineStr">
        <is>
          <t>Caixa</t>
        </is>
      </c>
      <c r="B17" s="27">
        <f>COUNTIF('Operações'!$F$5:$F$104,A17)</f>
        <v/>
      </c>
      <c r="C17" s="28">
        <f>SUMIF('Operações'!$F$5:$F$104,A17,'Operações'!$L$5:$L$104)</f>
        <v/>
      </c>
      <c r="D17" s="29">
        <f>IFERROR(AVERAGEIF('Operações'!$F$5:$F$104,A17,'Operações'!$M$5:$M$104),0)</f>
        <v/>
      </c>
      <c r="F17" s="26" t="inlineStr">
        <is>
          <t>Vencimento próximo</t>
        </is>
      </c>
      <c r="G17" s="27">
        <f>COUNTIF('Operações'!$W$5:$W$104,F17)</f>
        <v/>
      </c>
      <c r="J17" s="26" t="inlineStr">
        <is>
          <t>Compra de equipamentos</t>
        </is>
      </c>
      <c r="K17" s="30">
        <f>SUMIF('Operações'!$J$5:$J$104,J17,'Operações'!$L$5:$L$104)</f>
        <v/>
      </c>
    </row>
    <row r="18">
      <c r="A18" s="21" t="inlineStr">
        <is>
          <t>Itaú</t>
        </is>
      </c>
      <c r="B18" s="22">
        <f>COUNTIF('Operações'!$F$5:$F$104,A18)</f>
        <v/>
      </c>
      <c r="C18" s="23">
        <f>SUMIF('Operações'!$F$5:$F$104,A18,'Operações'!$L$5:$L$104)</f>
        <v/>
      </c>
      <c r="D18" s="24">
        <f>IFERROR(AVERAGEIF('Operações'!$F$5:$F$104,A18,'Operações'!$M$5:$M$104),0)</f>
        <v/>
      </c>
      <c r="F18" s="21" t="inlineStr">
        <is>
          <t>Em atraso</t>
        </is>
      </c>
      <c r="G18" s="22">
        <f>COUNTIF('Operações'!$W$5:$W$104,F18)</f>
        <v/>
      </c>
      <c r="J18" s="21" t="inlineStr">
        <is>
          <t>Estoque</t>
        </is>
      </c>
      <c r="K18" s="25">
        <f>SUMIF('Operações'!$J$5:$J$104,J18,'Operações'!$L$5:$L$104)</f>
        <v/>
      </c>
    </row>
    <row r="19">
      <c r="A19" s="26" t="inlineStr">
        <is>
          <t>Bradesco</t>
        </is>
      </c>
      <c r="B19" s="27">
        <f>COUNTIF('Operações'!$F$5:$F$104,A19)</f>
        <v/>
      </c>
      <c r="C19" s="28">
        <f>SUMIF('Operações'!$F$5:$F$104,A19,'Operações'!$L$5:$L$104)</f>
        <v/>
      </c>
      <c r="D19" s="29">
        <f>IFERROR(AVERAGEIF('Operações'!$F$5:$F$104,A19,'Operações'!$M$5:$M$104),0)</f>
        <v/>
      </c>
      <c r="F19" s="26" t="inlineStr">
        <is>
          <t>Quitado</t>
        </is>
      </c>
      <c r="G19" s="27">
        <f>COUNTIF('Operações'!$W$5:$W$104,F19)</f>
        <v/>
      </c>
      <c r="J19" s="26" t="inlineStr">
        <is>
          <t>Reforma</t>
        </is>
      </c>
      <c r="K19" s="30">
        <f>SUMIF('Operações'!$J$5:$J$104,J19,'Operações'!$L$5:$L$104)</f>
        <v/>
      </c>
    </row>
    <row r="20">
      <c r="A20" s="21" t="inlineStr">
        <is>
          <t>Sicredi</t>
        </is>
      </c>
      <c r="B20" s="22">
        <f>COUNTIF('Operações'!$F$5:$F$104,A20)</f>
        <v/>
      </c>
      <c r="C20" s="23">
        <f>SUMIF('Operações'!$F$5:$F$104,A20,'Operações'!$L$5:$L$104)</f>
        <v/>
      </c>
      <c r="D20" s="24">
        <f>IFERROR(AVERAGEIF('Operações'!$F$5:$F$104,A20,'Operações'!$M$5:$M$104),0)</f>
        <v/>
      </c>
      <c r="F20" s="21" t="inlineStr">
        <is>
          <t>Sem vencimento</t>
        </is>
      </c>
      <c r="G20" s="22">
        <f>COUNTIF('Operações'!$W$5:$W$104,F20)</f>
        <v/>
      </c>
    </row>
  </sheetData>
  <mergeCells count="1">
    <mergeCell ref="A1:N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105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</cols>
  <sheetData>
    <row r="1" ht="30" customHeight="1">
      <c r="A1" s="1" t="inlineStr">
        <is>
          <t>INSTRUÇÕES DE USO | CONTROLE GERENCIAL PRONAMPE</t>
        </is>
      </c>
    </row>
    <row r="2"/>
    <row r="3">
      <c r="A3" s="3" t="inlineStr">
        <is>
          <t>Tópico</t>
        </is>
      </c>
      <c r="B3" s="3" t="inlineStr">
        <is>
          <t>Orientação operacional</t>
        </is>
      </c>
      <c r="C3" s="3" t="n"/>
      <c r="D3" s="3" t="n"/>
      <c r="E3" s="3" t="n"/>
      <c r="F3" s="3" t="n"/>
      <c r="G3" s="3" t="n"/>
      <c r="H3" s="3" t="n"/>
    </row>
    <row r="4" ht="46" customHeight="1">
      <c r="A4" s="31" t="inlineStr">
        <is>
          <t>Objetivo</t>
        </is>
      </c>
      <c r="B4" s="32" t="inlineStr">
        <is>
          <t>Este workbook consolida propostas e operações de crédito PRONAMPE para acompanhamento gerencial de empresas, instituições financeiras, valores, parcelas, vencimentos, pagamentos e situação operacional.</t>
        </is>
      </c>
      <c r="C4" s="33" t="n"/>
      <c r="D4" s="33" t="n"/>
      <c r="E4" s="33" t="n"/>
      <c r="F4" s="33" t="n"/>
      <c r="G4" s="33" t="n"/>
      <c r="H4" s="33" t="n"/>
    </row>
    <row r="5" ht="46" customHeight="1">
      <c r="A5" s="31" t="inlineStr">
        <is>
          <t>Células amarelas</t>
        </is>
      </c>
      <c r="B5" s="34" t="inlineStr">
        <is>
          <t>Preencha ou atualize somente as células amarelas da planilha Operações. Elas representam dados de cadastro, contrato, valores aprovados, prazo, parcelas pagas, atrasos, próximo vencimento e observações.</t>
        </is>
      </c>
      <c r="C5" s="35" t="n"/>
      <c r="D5" s="35" t="n"/>
      <c r="E5" s="35" t="n"/>
      <c r="F5" s="35" t="n"/>
      <c r="G5" s="35" t="n"/>
      <c r="H5" s="35" t="n"/>
    </row>
    <row r="6" ht="46" customHeight="1">
      <c r="A6" s="31" t="inlineStr">
        <is>
          <t>Valor solicitado e aprovado</t>
        </is>
      </c>
      <c r="B6" s="32" t="inlineStr">
        <is>
          <t>Valor solicitado é o montante apresentado na proposta. Valor aprovado é o montante efetivamente contratado ou aprovado pela instituição financeira. Registre ambos em reais e confira com a documentação da operação.</t>
        </is>
      </c>
      <c r="C6" s="33" t="n"/>
      <c r="D6" s="33" t="n"/>
      <c r="E6" s="33" t="n"/>
      <c r="F6" s="33" t="n"/>
      <c r="G6" s="33" t="n"/>
      <c r="H6" s="33" t="n"/>
    </row>
    <row r="7" ht="46" customHeight="1">
      <c r="A7" s="31" t="inlineStr">
        <is>
          <t>Taxa, prazo e carência</t>
        </is>
      </c>
      <c r="B7" s="34" t="inlineStr">
        <is>
          <t>Informe a taxa anual contratual como percentual, o prazo total em meses e a carência em meses. O valor da parcela, o total estimado e o saldo devedor são calculados automaticamente.</t>
        </is>
      </c>
      <c r="C7" s="35" t="n"/>
      <c r="D7" s="35" t="n"/>
      <c r="E7" s="35" t="n"/>
      <c r="F7" s="35" t="n"/>
      <c r="G7" s="35" t="n"/>
      <c r="H7" s="35" t="n"/>
    </row>
    <row r="8" ht="46" customHeight="1">
      <c r="A8" s="31" t="inlineStr">
        <is>
          <t>Parcelas e pagamentos</t>
        </is>
      </c>
      <c r="B8" s="32" t="inlineStr">
        <is>
          <t>A cada pagamento mensal, atualize Parcelas pagas, Parcelas em atraso e Próximo vencimento. O saldo devedor estimado considera o total calculado menos as parcelas registradas como pagas.</t>
        </is>
      </c>
      <c r="C8" s="33" t="n"/>
      <c r="D8" s="33" t="n"/>
      <c r="E8" s="33" t="n"/>
      <c r="F8" s="33" t="n"/>
      <c r="G8" s="33" t="n"/>
      <c r="H8" s="33" t="n"/>
    </row>
    <row r="9" ht="46" customHeight="1">
      <c r="A9" s="31" t="inlineStr">
        <is>
          <t>Situação da operação</t>
        </is>
      </c>
      <c r="B9" s="34" t="inlineStr">
        <is>
          <t>A situação é calculada pela combinação entre saldo devedor, parcelas em atraso e data de próximo vencimento. Use a coluna Observações para registrar renegociação, comprovantes ou pendências relevantes.</t>
        </is>
      </c>
      <c r="C9" s="35" t="n"/>
      <c r="D9" s="35" t="n"/>
      <c r="E9" s="35" t="n"/>
      <c r="F9" s="35" t="n"/>
      <c r="G9" s="35" t="n"/>
      <c r="H9" s="35" t="n"/>
    </row>
    <row r="10" ht="46" customHeight="1">
      <c r="A10" s="31" t="inlineStr">
        <is>
          <t>Conferência documental</t>
        </is>
      </c>
      <c r="B10" s="32" t="inlineStr">
        <is>
          <t>Valide CNPJ, empresa, responsável, banco, dados do contrato, valores, taxa, parcelas e vencimentos com a instituição financeira e com a documentação formal da empresa.</t>
        </is>
      </c>
      <c r="C10" s="33" t="n"/>
      <c r="D10" s="33" t="n"/>
      <c r="E10" s="33" t="n"/>
      <c r="F10" s="33" t="n"/>
      <c r="G10" s="33" t="n"/>
      <c r="H10" s="33" t="n"/>
    </row>
    <row r="11" ht="46" customHeight="1">
      <c r="A11" s="31" t="inlineStr">
        <is>
          <t>Limite gerencial</t>
        </is>
      </c>
      <c r="B11" s="34" t="inlineStr">
        <is>
          <t>Este workbook é um instrumento gerencial. Ele não substitui contrato bancário, orientação contábil, análise jurídica nem consulta às regras vigentes do PRONAMPE.</t>
        </is>
      </c>
      <c r="C11" s="35" t="n"/>
      <c r="D11" s="35" t="n"/>
      <c r="E11" s="35" t="n"/>
      <c r="F11" s="35" t="n"/>
      <c r="G11" s="35" t="n"/>
      <c r="H11" s="35" t="n"/>
    </row>
    <row r="12" ht="46" customHeight="1">
      <c r="A12" s="31" t="inlineStr">
        <is>
          <t>LGPD e ANPD</t>
        </is>
      </c>
      <c r="B12" s="32" t="inlineStr">
        <is>
          <t>Trate dados pessoais e empresariais com necessidade, finalidade e acesso restrito. Evite inserir informações sensíveis desnecessárias e mantenha controles de acesso compatíveis com a LGPD e orientações da ANPD.</t>
        </is>
      </c>
      <c r="C12" s="33" t="n"/>
      <c r="D12" s="33" t="n"/>
      <c r="E12" s="33" t="n"/>
      <c r="F12" s="33" t="n"/>
      <c r="G12" s="33" t="n"/>
      <c r="H12" s="33" t="n"/>
    </row>
    <row r="13" ht="46" customHeight="1">
      <c r="A13" s="31" t="inlineStr">
        <is>
          <t>Resumo executivo</t>
        </is>
      </c>
      <c r="B13" s="34" t="inlineStr">
        <is>
          <t>A planilha Resumo calcula indicadores para toda a faixa preparada de 100 registros, apresenta análise por banco, distribuição por situação e gráficos de apoio à decisão.</t>
        </is>
      </c>
      <c r="C13" s="35" t="n"/>
      <c r="D13" s="35" t="n"/>
      <c r="E13" s="35" t="n"/>
      <c r="F13" s="35" t="n"/>
      <c r="G13" s="35" t="n"/>
      <c r="H13" s="35" t="n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2026-09-08T21:17:16Z</dcterms:created>
  <dcterms:modified xmlns:dcterms="http://purl.org/dc/terms/" xmlns:xsi="http://www.w3.org/2001/XMLSchema-instance" xsi:type="dcterms:W3CDTF">2026-09-08T21:17:16Z</dcterms:modified>
</cp:coreProperties>
</file>