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çamentos_Orçamento" sheetId="1" state="visible" r:id="rId1"/>
    <sheet xmlns:r="http://schemas.openxmlformats.org/officeDocument/2006/relationships" name="Resumo_Dashboard" sheetId="2" state="visible" r:id="rId2"/>
    <sheet xmlns:r="http://schemas.openxmlformats.org/officeDocument/2006/relationships" name="Parâmetros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AAAA"/>
    <numFmt numFmtId="165" formatCode="&quot;R$&quot; #.##0,00"/>
    <numFmt numFmtId="166" formatCode="0.0%"/>
    <numFmt numFmtId="167" formatCode="0&quot;%&quot;"/>
  </numFmts>
  <fonts count="6">
    <font>
      <name val="Calibri"/>
      <family val="2"/>
      <color theme="1"/>
      <sz val="11"/>
      <scheme val="minor"/>
    </font>
    <font>
      <b val="1"/>
      <color rgb="001E293B"/>
      <sz val="16"/>
    </font>
    <font>
      <i val="1"/>
      <color rgb="00475569"/>
      <sz val="10"/>
    </font>
    <font>
      <b val="1"/>
      <color rgb="00FFFFFF"/>
      <sz val="11"/>
    </font>
    <font>
      <b val="1"/>
    </font>
    <font>
      <b val="1"/>
      <color rgb="000F766E"/>
      <sz val="11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165" fontId="4" fillId="0" borderId="1" pivotButton="0" quotePrefix="0" xfId="0"/>
    <xf numFmtId="165" fontId="0" fillId="0" borderId="0" pivotButton="0" quotePrefix="0" xfId="0"/>
    <xf numFmtId="0" fontId="0" fillId="4" borderId="1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center" vertical="center" wrapText="1"/>
    </xf>
    <xf numFmtId="0" fontId="4" fillId="3" borderId="1" pivotButton="0" quotePrefix="0" xfId="0"/>
    <xf numFmtId="165" fontId="0" fillId="3" borderId="1" pivotButton="0" quotePrefix="0" xfId="0"/>
    <xf numFmtId="0" fontId="4" fillId="5" borderId="1" pivotButton="0" quotePrefix="0" xfId="0"/>
    <xf numFmtId="165" fontId="0" fillId="5" borderId="1" pivotButton="0" quotePrefix="0" xfId="0"/>
    <xf numFmtId="166" fontId="0" fillId="3" borderId="1" pivotButton="0" quotePrefix="0" xfId="0"/>
    <xf numFmtId="0" fontId="0" fillId="3" borderId="1" pivotButton="0" quotePrefix="0" xfId="0"/>
    <xf numFmtId="0" fontId="4" fillId="0" borderId="1" pivotButton="0" quotePrefix="0" xfId="0"/>
    <xf numFmtId="0" fontId="0" fillId="4" borderId="1" pivotButton="0" quotePrefix="0" xfId="0"/>
    <xf numFmtId="166" fontId="0" fillId="0" borderId="1" pivotButton="0" quotePrefix="0" xfId="0"/>
    <xf numFmtId="167" fontId="0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vertical="center" wrapText="1"/>
    </xf>
    <xf numFmtId="0" fontId="5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vertical="center" wrapText="1"/>
    </xf>
    <xf numFmtId="164" fontId="0" fillId="3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165" fontId="4" fillId="0" borderId="1" pivotButton="0" quotePrefix="0" xfId="0"/>
    <xf numFmtId="165" fontId="0" fillId="0" borderId="0" pivotButton="0" quotePrefix="0" xfId="0"/>
    <xf numFmtId="165" fontId="0" fillId="3" borderId="1" pivotButton="0" quotePrefix="0" xfId="0"/>
    <xf numFmtId="165" fontId="0" fillId="5" borderId="1" pivotButton="0" quotePrefix="0" xfId="0"/>
    <xf numFmtId="166" fontId="0" fillId="3" borderId="1" pivotButton="0" quotePrefix="0" xfId="0"/>
    <xf numFmtId="166" fontId="0" fillId="0" borderId="1" pivotButton="0" quotePrefix="0" xfId="0"/>
    <xf numFmtId="167" fontId="0" fillId="4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Previsto x Realizado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'Resumo_Dashboard'!B21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'Resumo_Dashboard'!$A$22:$A$30</f>
            </numRef>
          </cat>
          <val>
            <numRef>
              <f>'Resumo_Dashboard'!$B$22:$B$30</f>
            </numRef>
          </val>
        </ser>
        <ser>
          <idx val="1"/>
          <order val="1"/>
          <tx>
            <strRef>
              <f>'Resumo_Dashboard'!C21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'Resumo_Dashboard'!$A$22:$A$30</f>
            </numRef>
          </cat>
          <val>
            <numRef>
              <f>'Resumo_Dashboard'!$C$22:$C$30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Mensal do Saldo Orçamentário Realizado</a:t>
            </a:r>
          </a:p>
        </rich>
      </tx>
    </title>
    <plotArea>
      <lineChart>
        <grouping val="standard"/>
        <ser>
          <idx val="0"/>
          <order val="0"/>
          <tx>
            <strRef>
              <f>'Resumo_Dashboard'!G34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'Resumo_Dashboard'!$A$35:$A$39</f>
            </numRef>
          </cat>
          <val>
            <numRef>
              <f>'Resumo_Dashboard'!$G$35:$G$39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Participação % das Despesas por Centro de Custo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'Resumo_Dashboard'!B43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'Resumo_Dashboard'!$A$44:$A$47</f>
            </numRef>
          </cat>
          <val>
            <numRef>
              <f>'Resumo_Dashboard'!$B$44:$B$47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8</col>
      <colOff>0</colOff>
      <row>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21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38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22" customWidth="1" min="3" max="3"/>
    <col width="24" customWidth="1" min="4" max="4"/>
    <col width="10" customWidth="1" min="5" max="5"/>
    <col width="34" customWidth="1" min="6" max="6"/>
    <col width="26" customWidth="1" min="7" max="7"/>
    <col width="16" customWidth="1" min="8" max="8"/>
    <col width="12" customWidth="1" min="9" max="9"/>
    <col width="15" customWidth="1" min="10" max="10"/>
    <col width="15" customWidth="1" min="11" max="11"/>
    <col width="13" customWidth="1" min="12" max="12"/>
    <col width="11" customWidth="1" min="13" max="13"/>
    <col width="12" customWidth="1" min="14" max="14"/>
    <col width="18" customWidth="1" min="15" max="15"/>
    <col width="28" customWidth="1" min="16" max="16"/>
  </cols>
  <sheetData>
    <row r="1" ht="28" customHeight="1">
      <c r="A1" s="1" t="inlineStr">
        <is>
          <t>PREVISÃO ORÇAMENTÁRIA DE CONDOMÍNIO — LANÇAMENTOS 2026</t>
        </is>
      </c>
    </row>
    <row r="2">
      <c r="A2" s="2" t="inlineStr">
        <is>
          <t>Controle mensal de receitas e despesas — Previsto x Realizado</t>
        </is>
      </c>
    </row>
    <row r="3">
      <c r="A3" s="3" t="inlineStr">
        <is>
          <t>Data</t>
        </is>
      </c>
      <c r="B3" s="3" t="inlineStr">
        <is>
          <t>Competência</t>
        </is>
      </c>
      <c r="C3" s="3" t="inlineStr">
        <is>
          <t>Categoria</t>
        </is>
      </c>
      <c r="D3" s="3" t="inlineStr">
        <is>
          <t>Subcategoria</t>
        </is>
      </c>
      <c r="E3" s="3" t="inlineStr">
        <is>
          <t>Tipo</t>
        </is>
      </c>
      <c r="F3" s="3" t="inlineStr">
        <is>
          <t>Descrição</t>
        </is>
      </c>
      <c r="G3" s="3" t="inlineStr">
        <is>
          <t>Fornecedor / Morador</t>
        </is>
      </c>
      <c r="H3" s="3" t="inlineStr">
        <is>
          <t>Centro de Custo</t>
        </is>
      </c>
      <c r="I3" s="3" t="inlineStr">
        <is>
          <t>Documento</t>
        </is>
      </c>
      <c r="J3" s="3" t="inlineStr">
        <is>
          <t>Valor Previsto</t>
        </is>
      </c>
      <c r="K3" s="3" t="inlineStr">
        <is>
          <t>Valor Realizado</t>
        </is>
      </c>
      <c r="L3" s="3" t="inlineStr">
        <is>
          <t>Diferença</t>
        </is>
      </c>
      <c r="M3" s="3" t="inlineStr">
        <is>
          <t>% Desvio</t>
        </is>
      </c>
      <c r="N3" s="3" t="inlineStr">
        <is>
          <t>Status</t>
        </is>
      </c>
      <c r="O3" s="3" t="inlineStr">
        <is>
          <t>Forma de Pagamento</t>
        </is>
      </c>
      <c r="P3" s="3" t="inlineStr">
        <is>
          <t>Observação</t>
        </is>
      </c>
    </row>
    <row r="4">
      <c r="A4" s="36" t="n">
        <v>46027</v>
      </c>
      <c r="B4" s="5" t="inlineStr">
        <is>
          <t>Jan/2026</t>
        </is>
      </c>
      <c r="C4" s="5" t="inlineStr">
        <is>
          <t>Cota Condominial</t>
        </is>
      </c>
      <c r="D4" s="5" t="inlineStr">
        <is>
          <t>Cota Mensal</t>
        </is>
      </c>
      <c r="E4" s="5" t="inlineStr">
        <is>
          <t>Receita</t>
        </is>
      </c>
      <c r="F4" s="5" t="inlineStr">
        <is>
          <t>Pagamento de cotas condominiais - unidades</t>
        </is>
      </c>
      <c r="G4" s="5" t="inlineStr">
        <is>
          <t>Diversos Moradores</t>
        </is>
      </c>
      <c r="H4" s="5" t="inlineStr">
        <is>
          <t>Administrativo</t>
        </is>
      </c>
      <c r="I4" s="5" t="inlineStr">
        <is>
          <t>Boleto</t>
        </is>
      </c>
      <c r="J4" s="37" t="n">
        <v>18500</v>
      </c>
      <c r="K4" s="37" t="n">
        <v>18500</v>
      </c>
      <c r="L4" s="38">
        <f>IF(K4="","",K4-J4)</f>
        <v/>
      </c>
      <c r="M4" s="39">
        <f>IFERROR(L4/J4,0)</f>
        <v/>
      </c>
      <c r="N4" s="5">
        <f>IF(K4="",IF(TODAY()&gt;A4,"Em atraso","Pendente"),IF(K4&gt;=J4,"Pago","Pendente"))</f>
        <v/>
      </c>
      <c r="O4" s="5" t="inlineStr">
        <is>
          <t>Boleto Bancário</t>
        </is>
      </c>
      <c r="P4" s="5" t="inlineStr">
        <is>
          <t>Recebimento consolidado do mês</t>
        </is>
      </c>
    </row>
    <row r="5">
      <c r="A5" s="40" t="n">
        <v>46032</v>
      </c>
      <c r="B5" s="10" t="inlineStr">
        <is>
          <t>Jan/2026</t>
        </is>
      </c>
      <c r="C5" s="10" t="inlineStr">
        <is>
          <t>Inadimplência</t>
        </is>
      </c>
      <c r="D5" s="10" t="inlineStr">
        <is>
          <t>Atraso de Cota</t>
        </is>
      </c>
      <c r="E5" s="10" t="inlineStr">
        <is>
          <t>Receita</t>
        </is>
      </c>
      <c r="F5" s="10" t="inlineStr">
        <is>
          <t>Inadimplência parcial - unidade 12B</t>
        </is>
      </c>
      <c r="G5" s="10" t="inlineStr">
        <is>
          <t>Ana Souza</t>
        </is>
      </c>
      <c r="H5" s="10" t="inlineStr">
        <is>
          <t>Administrativo</t>
        </is>
      </c>
      <c r="I5" s="10" t="inlineStr">
        <is>
          <t>Boleto</t>
        </is>
      </c>
      <c r="J5" s="37" t="n">
        <v>2300</v>
      </c>
      <c r="K5" s="37" t="n">
        <v>1150</v>
      </c>
      <c r="L5" s="41">
        <f>IF(K5="","",K5-J5)</f>
        <v/>
      </c>
      <c r="M5" s="42">
        <f>IFERROR(L5/J5,0)</f>
        <v/>
      </c>
      <c r="N5" s="10">
        <f>IF(K5="",IF(TODAY()&gt;A5,"Em atraso","Pendente"),IF(K5&gt;=J5,"Pago","Pendente"))</f>
        <v/>
      </c>
      <c r="O5" s="10" t="inlineStr">
        <is>
          <t>Boleto Bancário</t>
        </is>
      </c>
      <c r="P5" s="10" t="inlineStr">
        <is>
          <t>Pagamento parcial recebido</t>
        </is>
      </c>
    </row>
    <row r="6">
      <c r="A6" s="36" t="n">
        <v>46027</v>
      </c>
      <c r="B6" s="5" t="inlineStr">
        <is>
          <t>Jan/2026</t>
        </is>
      </c>
      <c r="C6" s="5" t="inlineStr">
        <is>
          <t>Limpeza</t>
        </is>
      </c>
      <c r="D6" s="5" t="inlineStr">
        <is>
          <t>Limpeza Terceirizada</t>
        </is>
      </c>
      <c r="E6" s="5" t="inlineStr">
        <is>
          <t>Despesa</t>
        </is>
      </c>
      <c r="F6" s="5" t="inlineStr">
        <is>
          <t>Contrato mensal de limpeza das áreas comuns</t>
        </is>
      </c>
      <c r="G6" s="5" t="inlineStr">
        <is>
          <t>Clean Service Terceirizados Ltda</t>
        </is>
      </c>
      <c r="H6" s="5" t="inlineStr">
        <is>
          <t>Manutenção</t>
        </is>
      </c>
      <c r="I6" s="5" t="inlineStr">
        <is>
          <t>Contrato</t>
        </is>
      </c>
      <c r="J6" s="37" t="n">
        <v>4200</v>
      </c>
      <c r="K6" s="37" t="n">
        <v>4200</v>
      </c>
      <c r="L6" s="38">
        <f>IF(K6="","",K6-J6)</f>
        <v/>
      </c>
      <c r="M6" s="39">
        <f>IFERROR(L6/J6,0)</f>
        <v/>
      </c>
      <c r="N6" s="5">
        <f>IF(K6="",IF(TODAY()&gt;A6,"Em atraso","Pendente"),IF(K6&gt;=J6,"Pago","Pendente"))</f>
        <v/>
      </c>
      <c r="O6" s="5" t="inlineStr">
        <is>
          <t>Transferência</t>
        </is>
      </c>
      <c r="P6" s="5" t="inlineStr"/>
    </row>
    <row r="7">
      <c r="A7" s="40" t="n">
        <v>46058</v>
      </c>
      <c r="B7" s="10" t="inlineStr">
        <is>
          <t>Fev/2026</t>
        </is>
      </c>
      <c r="C7" s="10" t="inlineStr">
        <is>
          <t>Portaria</t>
        </is>
      </c>
      <c r="D7" s="10" t="inlineStr">
        <is>
          <t>Portaria 24h</t>
        </is>
      </c>
      <c r="E7" s="10" t="inlineStr">
        <is>
          <t>Despesa</t>
        </is>
      </c>
      <c r="F7" s="10" t="inlineStr">
        <is>
          <t>Folha de portaria terceirizada</t>
        </is>
      </c>
      <c r="G7" s="10" t="inlineStr">
        <is>
          <t>Segurança Total Ltda</t>
        </is>
      </c>
      <c r="H7" s="10" t="inlineStr">
        <is>
          <t>Pessoal</t>
        </is>
      </c>
      <c r="I7" s="10" t="inlineStr">
        <is>
          <t>Contrato</t>
        </is>
      </c>
      <c r="J7" s="37" t="n">
        <v>9800</v>
      </c>
      <c r="K7" s="37" t="n">
        <v>9800</v>
      </c>
      <c r="L7" s="41">
        <f>IF(K7="","",K7-J7)</f>
        <v/>
      </c>
      <c r="M7" s="42">
        <f>IFERROR(L7/J7,0)</f>
        <v/>
      </c>
      <c r="N7" s="10">
        <f>IF(K7="",IF(TODAY()&gt;A7,"Em atraso","Pendente"),IF(K7&gt;=J7,"Pago","Pendente"))</f>
        <v/>
      </c>
      <c r="O7" s="10" t="inlineStr">
        <is>
          <t>Transferência</t>
        </is>
      </c>
      <c r="P7" s="10" t="inlineStr"/>
    </row>
    <row r="8">
      <c r="A8" s="36" t="n">
        <v>46063</v>
      </c>
      <c r="B8" s="5" t="inlineStr">
        <is>
          <t>Fev/2026</t>
        </is>
      </c>
      <c r="C8" s="5" t="inlineStr">
        <is>
          <t>Energia Elétrica</t>
        </is>
      </c>
      <c r="D8" s="5" t="inlineStr">
        <is>
          <t>Energia Áreas Comuns</t>
        </is>
      </c>
      <c r="E8" s="5" t="inlineStr">
        <is>
          <t>Despesa</t>
        </is>
      </c>
      <c r="F8" s="5" t="inlineStr">
        <is>
          <t>Conta de energia elétrica das áreas comuns</t>
        </is>
      </c>
      <c r="G8" s="5" t="inlineStr">
        <is>
          <t>Enel São Paulo</t>
        </is>
      </c>
      <c r="H8" s="5" t="inlineStr">
        <is>
          <t>Água/Luz</t>
        </is>
      </c>
      <c r="I8" s="5" t="inlineStr">
        <is>
          <t>NF-e</t>
        </is>
      </c>
      <c r="J8" s="37" t="n">
        <v>3600</v>
      </c>
      <c r="K8" s="37" t="n">
        <v>3950</v>
      </c>
      <c r="L8" s="38">
        <f>IF(K8="","",K8-J8)</f>
        <v/>
      </c>
      <c r="M8" s="39">
        <f>IFERROR(L8/J8,0)</f>
        <v/>
      </c>
      <c r="N8" s="5">
        <f>IF(K8="",IF(TODAY()&gt;A8,"Em atraso","Pendente"),IF(K8&gt;=J8,"Pago","Pendente"))</f>
        <v/>
      </c>
      <c r="O8" s="5" t="inlineStr">
        <is>
          <t>Débito Automático</t>
        </is>
      </c>
      <c r="P8" s="5" t="inlineStr">
        <is>
          <t>Reajuste tarifário no período</t>
        </is>
      </c>
    </row>
    <row r="9">
      <c r="A9" s="40" t="n">
        <v>46091</v>
      </c>
      <c r="B9" s="10" t="inlineStr">
        <is>
          <t>Mar/2026</t>
        </is>
      </c>
      <c r="C9" s="10" t="inlineStr">
        <is>
          <t>Água e Esgoto</t>
        </is>
      </c>
      <c r="D9" s="10" t="inlineStr">
        <is>
          <t>Água e Esgoto</t>
        </is>
      </c>
      <c r="E9" s="10" t="inlineStr">
        <is>
          <t>Despesa</t>
        </is>
      </c>
      <c r="F9" s="10" t="inlineStr">
        <is>
          <t>Conta de água e esgoto das áreas comuns</t>
        </is>
      </c>
      <c r="G9" s="10" t="inlineStr">
        <is>
          <t>Sabesp</t>
        </is>
      </c>
      <c r="H9" s="10" t="inlineStr">
        <is>
          <t>Água/Luz</t>
        </is>
      </c>
      <c r="I9" s="10" t="inlineStr">
        <is>
          <t>NF-e</t>
        </is>
      </c>
      <c r="J9" s="37" t="n">
        <v>2800</v>
      </c>
      <c r="K9" s="37" t="n">
        <v>2750</v>
      </c>
      <c r="L9" s="41">
        <f>IF(K9="","",K9-J9)</f>
        <v/>
      </c>
      <c r="M9" s="42">
        <f>IFERROR(L9/J9,0)</f>
        <v/>
      </c>
      <c r="N9" s="10">
        <f>IF(K9="",IF(TODAY()&gt;A9,"Em atraso","Pendente"),IF(K9&gt;=J9,"Pago","Pendente"))</f>
        <v/>
      </c>
      <c r="O9" s="10" t="inlineStr">
        <is>
          <t>Débito Automático</t>
        </is>
      </c>
      <c r="P9" s="10" t="inlineStr"/>
    </row>
    <row r="10">
      <c r="A10" s="36" t="n">
        <v>46096</v>
      </c>
      <c r="B10" s="5" t="inlineStr">
        <is>
          <t>Mar/2026</t>
        </is>
      </c>
      <c r="C10" s="5" t="inlineStr">
        <is>
          <t>Manutenção de Elevadores</t>
        </is>
      </c>
      <c r="D10" s="5" t="inlineStr">
        <is>
          <t>Manutenção Preventiva</t>
        </is>
      </c>
      <c r="E10" s="5" t="inlineStr">
        <is>
          <t>Despesa</t>
        </is>
      </c>
      <c r="F10" s="5" t="inlineStr">
        <is>
          <t>Manutenção preventiva mensal dos elevadores</t>
        </is>
      </c>
      <c r="G10" s="5" t="inlineStr">
        <is>
          <t>Elevadores Brasil S.A.</t>
        </is>
      </c>
      <c r="H10" s="5" t="inlineStr">
        <is>
          <t>Manutenção</t>
        </is>
      </c>
      <c r="I10" s="5" t="inlineStr">
        <is>
          <t>NF-e</t>
        </is>
      </c>
      <c r="J10" s="37" t="n">
        <v>1500</v>
      </c>
      <c r="K10" s="37" t="n">
        <v>1800</v>
      </c>
      <c r="L10" s="38">
        <f>IF(K10="","",K10-J10)</f>
        <v/>
      </c>
      <c r="M10" s="39">
        <f>IFERROR(L10/J10,0)</f>
        <v/>
      </c>
      <c r="N10" s="5">
        <f>IF(K10="",IF(TODAY()&gt;A10,"Em atraso","Pendente"),IF(K10&gt;=J10,"Pago","Pendente"))</f>
        <v/>
      </c>
      <c r="O10" s="5" t="inlineStr">
        <is>
          <t>Transferência</t>
        </is>
      </c>
      <c r="P10" s="5" t="inlineStr">
        <is>
          <t>Peça extra substituída</t>
        </is>
      </c>
    </row>
    <row r="11">
      <c r="A11" s="40" t="n">
        <v>46132</v>
      </c>
      <c r="B11" s="10" t="inlineStr">
        <is>
          <t>Abr/2026</t>
        </is>
      </c>
      <c r="C11" s="10" t="inlineStr">
        <is>
          <t>Jardinagem</t>
        </is>
      </c>
      <c r="D11" s="10" t="inlineStr">
        <is>
          <t>Jardins e Paisagismo</t>
        </is>
      </c>
      <c r="E11" s="10" t="inlineStr">
        <is>
          <t>Despesa</t>
        </is>
      </c>
      <c r="F11" s="10" t="inlineStr">
        <is>
          <t>Contrato de manutenção de jardins e paisagismo</t>
        </is>
      </c>
      <c r="G11" s="10" t="inlineStr">
        <is>
          <t>Verde Jardim Ltda</t>
        </is>
      </c>
      <c r="H11" s="10" t="inlineStr">
        <is>
          <t>Manutenção</t>
        </is>
      </c>
      <c r="I11" s="10" t="inlineStr">
        <is>
          <t>Contrato</t>
        </is>
      </c>
      <c r="J11" s="37" t="n">
        <v>1200</v>
      </c>
      <c r="K11" s="37" t="n">
        <v>1200</v>
      </c>
      <c r="L11" s="41">
        <f>IF(K11="","",K11-J11)</f>
        <v/>
      </c>
      <c r="M11" s="42">
        <f>IFERROR(L11/J11,0)</f>
        <v/>
      </c>
      <c r="N11" s="10">
        <f>IF(K11="",IF(TODAY()&gt;A11,"Em atraso","Pendente"),IF(K11&gt;=J11,"Pago","Pendente"))</f>
        <v/>
      </c>
      <c r="O11" s="10" t="inlineStr">
        <is>
          <t>Transferência</t>
        </is>
      </c>
      <c r="P11" s="10" t="inlineStr"/>
    </row>
    <row r="12">
      <c r="A12" s="36" t="n">
        <v>46147</v>
      </c>
      <c r="B12" s="5" t="inlineStr">
        <is>
          <t>Mai/2026</t>
        </is>
      </c>
      <c r="C12" s="5" t="inlineStr">
        <is>
          <t>Fundo de Reserva</t>
        </is>
      </c>
      <c r="D12" s="5" t="inlineStr">
        <is>
          <t>Provisão Fundo de Reserva</t>
        </is>
      </c>
      <c r="E12" s="5" t="inlineStr">
        <is>
          <t>Despesa</t>
        </is>
      </c>
      <c r="F12" s="5" t="inlineStr">
        <is>
          <t>Provisão mensal para fundo de reserva</t>
        </is>
      </c>
      <c r="G12" s="5" t="inlineStr">
        <is>
          <t>Interno</t>
        </is>
      </c>
      <c r="H12" s="5" t="inlineStr">
        <is>
          <t>Administrativo</t>
        </is>
      </c>
      <c r="I12" s="5" t="inlineStr">
        <is>
          <t>Recibo</t>
        </is>
      </c>
      <c r="J12" s="37" t="n">
        <v>3000</v>
      </c>
      <c r="K12" s="37" t="n">
        <v>3000</v>
      </c>
      <c r="L12" s="38">
        <f>IF(K12="","",K12-J12)</f>
        <v/>
      </c>
      <c r="M12" s="39">
        <f>IFERROR(L12/J12,0)</f>
        <v/>
      </c>
      <c r="N12" s="5">
        <f>IF(K12="",IF(TODAY()&gt;A12,"Em atraso","Pendente"),IF(K12&gt;=J12,"Pago","Pendente"))</f>
        <v/>
      </c>
      <c r="O12" s="5" t="inlineStr">
        <is>
          <t>Transferência Interna</t>
        </is>
      </c>
      <c r="P12" s="5" t="inlineStr"/>
    </row>
    <row r="13">
      <c r="A13" s="40" t="n">
        <v>46154</v>
      </c>
      <c r="B13" s="10" t="inlineStr">
        <is>
          <t>Mai/2026</t>
        </is>
      </c>
      <c r="C13" s="10" t="inlineStr">
        <is>
          <t>Inadimplência</t>
        </is>
      </c>
      <c r="D13" s="10" t="inlineStr">
        <is>
          <t>Atraso de Cota</t>
        </is>
      </c>
      <c r="E13" s="10" t="inlineStr">
        <is>
          <t>Receita</t>
        </is>
      </c>
      <c r="F13" s="10" t="inlineStr">
        <is>
          <t>Inadimplência total - unidade 05A</t>
        </is>
      </c>
      <c r="G13" s="10" t="inlineStr">
        <is>
          <t>Pedro Santos</t>
        </is>
      </c>
      <c r="H13" s="10" t="inlineStr">
        <is>
          <t>Administrativo</t>
        </is>
      </c>
      <c r="I13" s="10" t="inlineStr">
        <is>
          <t>Boleto</t>
        </is>
      </c>
      <c r="J13" s="37" t="n">
        <v>2300</v>
      </c>
      <c r="K13" s="37" t="n"/>
      <c r="L13" s="41">
        <f>IF(K13="","",K13-J13)</f>
        <v/>
      </c>
      <c r="M13" s="42">
        <f>IFERROR(L13/J13,0)</f>
        <v/>
      </c>
      <c r="N13" s="10">
        <f>IF(K13="",IF(TODAY()&gt;A13,"Em atraso","Pendente"),IF(K13&gt;=J13,"Pago","Pendente"))</f>
        <v/>
      </c>
      <c r="O13" s="10" t="inlineStr">
        <is>
          <t>Boleto Bancário</t>
        </is>
      </c>
      <c r="P13" s="10" t="inlineStr">
        <is>
          <t>Aguardando pagamento</t>
        </is>
      </c>
    </row>
    <row r="14"/>
    <row r="15">
      <c r="C15" s="13" t="inlineStr">
        <is>
          <t>TOTAIS GERAIS</t>
        </is>
      </c>
      <c r="J15" s="43">
        <f>SUM(J4:J13)</f>
        <v/>
      </c>
      <c r="K15" s="43">
        <f>SUM(K4:K13)</f>
        <v/>
      </c>
      <c r="L15" s="43">
        <f>K15-J15</f>
        <v/>
      </c>
    </row>
    <row r="16">
      <c r="C16" s="13" t="inlineStr">
        <is>
          <t>Total Previsto Receitas</t>
        </is>
      </c>
      <c r="J16" s="44">
        <f>SUMIF(E4:E13,"Receita",J4:J13)</f>
        <v/>
      </c>
    </row>
    <row r="17">
      <c r="C17" s="13" t="inlineStr">
        <is>
          <t>Total Previsto Despesas</t>
        </is>
      </c>
      <c r="J17" s="44">
        <f>SUMIF(E4:E13,"Despesa",J4:J13)</f>
        <v/>
      </c>
    </row>
    <row r="18">
      <c r="C18" s="13" t="inlineStr">
        <is>
          <t>Média Mensal Despesas Realizadas</t>
        </is>
      </c>
      <c r="J18" s="44">
        <f>IFERROR(AVERAGEIF(E4:E13,"Despesa",K4:K13),0)</f>
        <v/>
      </c>
    </row>
    <row r="19">
      <c r="C19" s="13" t="inlineStr">
        <is>
          <t>Quantidade de Lançamentos em Atraso</t>
        </is>
      </c>
      <c r="J19">
        <f>COUNTIF(N4:N13,"Em atraso")</f>
        <v/>
      </c>
    </row>
  </sheetData>
  <mergeCells count="2">
    <mergeCell ref="A1:P1"/>
    <mergeCell ref="A2:P2"/>
  </mergeCells>
  <conditionalFormatting sqref="N4:N13">
    <cfRule type="expression" priority="1" dxfId="0" stopIfTrue="1">
      <formula>N4="Em atraso"</formula>
    </cfRule>
    <cfRule type="expression" priority="2" dxfId="1" stopIfTrue="1">
      <formula>N4="Pago"</formula>
    </cfRule>
  </conditionalFormatting>
  <conditionalFormatting sqref="L4:L13">
    <cfRule type="expression" priority="3" dxfId="2">
      <formula>L4&gt;0</formula>
    </cfRule>
    <cfRule type="expression" priority="4" dxfId="3">
      <formula>L4&lt;0</formula>
    </cfRule>
  </conditionalFormatting>
  <dataValidations count="2">
    <dataValidation sqref="E4:E13" showErrorMessage="1" showInputMessage="1" allowBlank="1" type="list">
      <formula1>"Receita,Despesa"</formula1>
    </dataValidation>
    <dataValidation sqref="I4:I13" showErrorMessage="1" showInputMessage="1" allowBlank="1" type="list">
      <formula1>"Boleto,NF-e,Recibo,Contrato"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8" customHeight="1">
      <c r="A1" s="1" t="inlineStr">
        <is>
          <t>PAINEL GERENCIAL — ORÇAMENTO DO CONDOMÍNIO 2026</t>
        </is>
      </c>
    </row>
    <row r="2"/>
    <row r="3">
      <c r="A3" s="13" t="inlineStr">
        <is>
          <t>Mês de Referência (para consultas específicas):</t>
        </is>
      </c>
      <c r="B3" s="16" t="inlineStr">
        <is>
          <t>Mai/2026</t>
        </is>
      </c>
    </row>
    <row r="4"/>
    <row r="5">
      <c r="A5" s="17" t="inlineStr">
        <is>
          <t>INDICADORES GERENCIAIS (KPIs)</t>
        </is>
      </c>
    </row>
    <row r="6">
      <c r="A6" s="18" t="inlineStr">
        <is>
          <t>Total Previsto Receitas (R$)</t>
        </is>
      </c>
      <c r="B6" s="45">
        <f>SUMIF(Lançamentos_Orçamento!$E$4:$E$13,"Receita",Lançamentos_Orçamento!$J$4:$J$13)</f>
        <v/>
      </c>
    </row>
    <row r="7">
      <c r="A7" s="20" t="inlineStr">
        <is>
          <t>Total Previsto Despesas (R$)</t>
        </is>
      </c>
      <c r="B7" s="46">
        <f>SUMIF(Lançamentos_Orçamento!$E$4:$E$13,"Despesa",Lançamentos_Orçamento!$J$4:$J$13)</f>
        <v/>
      </c>
    </row>
    <row r="8">
      <c r="A8" s="18" t="inlineStr">
        <is>
          <t>Total Realizado Receitas (R$)</t>
        </is>
      </c>
      <c r="B8" s="45">
        <f>SUMIF(Lançamentos_Orçamento!$E$4:$E$13,"Receita",Lançamentos_Orçamento!$K$4:$K$13)</f>
        <v/>
      </c>
    </row>
    <row r="9">
      <c r="A9" s="20" t="inlineStr">
        <is>
          <t>Total Realizado Despesas (R$)</t>
        </is>
      </c>
      <c r="B9" s="46">
        <f>SUMIF(Lançamentos_Orçamento!$E$4:$E$13,"Despesa",Lançamentos_Orçamento!$K$4:$K$13)</f>
        <v/>
      </c>
    </row>
    <row r="10">
      <c r="A10" s="18" t="inlineStr">
        <is>
          <t>Saldo Orçamentário Previsto (R$)</t>
        </is>
      </c>
      <c r="B10" s="45">
        <f>B6-B7</f>
        <v/>
      </c>
    </row>
    <row r="11">
      <c r="A11" s="20" t="inlineStr">
        <is>
          <t>Saldo Orçamentário Realizado (R$)</t>
        </is>
      </c>
      <c r="B11" s="46">
        <f>B8-B9</f>
        <v/>
      </c>
    </row>
    <row r="12">
      <c r="A12" s="18" t="inlineStr">
        <is>
          <t>% Execução Geral do Orçamento</t>
        </is>
      </c>
      <c r="B12" s="47">
        <f>IFERROR((B8+B9)/(B6+B7),0)</f>
        <v/>
      </c>
    </row>
    <row r="13">
      <c r="A13" s="20" t="inlineStr">
        <is>
          <t>Inadimplência Total (R$)</t>
        </is>
      </c>
      <c r="B13" s="46">
        <f>SUMIF(Lançamentos_Orçamento!$N$4:$N$13,"Em atraso",Lançamentos_Orçamento!$J$4:$J$13)</f>
        <v/>
      </c>
    </row>
    <row r="14">
      <c r="A14" s="18" t="inlineStr">
        <is>
          <t>Quantidade em Atraso</t>
        </is>
      </c>
      <c r="B14" s="23">
        <f>COUNTIF(Lançamentos_Orçamento!$N$4:$N$13,"Em atraso")</f>
        <v/>
      </c>
    </row>
    <row r="15">
      <c r="A15" s="20" t="inlineStr">
        <is>
          <t>Fundo de Reserva Acumulado (R$)</t>
        </is>
      </c>
      <c r="B15" s="46">
        <f>SUMIF(Lançamentos_Orçamento!$C$4:$C$13,"Fundo de Reserva",Lançamentos_Orçamento!$K$4:$K$13)</f>
        <v/>
      </c>
    </row>
    <row r="16"/>
    <row r="17">
      <c r="A17" s="24" t="inlineStr">
        <is>
          <t>Categoria para consulta de reajuste (VLOOKUP):</t>
        </is>
      </c>
      <c r="B17" s="25" t="inlineStr">
        <is>
          <t>Limpeza</t>
        </is>
      </c>
    </row>
    <row r="18">
      <c r="A18" s="24" t="inlineStr">
        <is>
          <t>% Reajuste Anual (via VLOOKUP em Parâmetros):</t>
        </is>
      </c>
      <c r="B18" s="48">
        <f>IFERROR(VLOOKUP(B17,Parâmetros!$A$4:$D$13,4,FALSE)/100,"Categoria não encontrada")</f>
        <v/>
      </c>
    </row>
    <row r="19"/>
    <row r="20">
      <c r="A20" s="17" t="inlineStr">
        <is>
          <t>RESUMO POR CATEGORIA</t>
        </is>
      </c>
    </row>
    <row r="21">
      <c r="A21" s="3" t="inlineStr">
        <is>
          <t>Categoria</t>
        </is>
      </c>
      <c r="B21" s="3" t="inlineStr">
        <is>
          <t>Previsto</t>
        </is>
      </c>
      <c r="C21" s="3" t="inlineStr">
        <is>
          <t>Realizado</t>
        </is>
      </c>
      <c r="D21" s="3" t="inlineStr">
        <is>
          <t>Diferença</t>
        </is>
      </c>
      <c r="E21" s="3" t="inlineStr">
        <is>
          <t>% Execução</t>
        </is>
      </c>
    </row>
    <row r="22">
      <c r="A22" s="5" t="inlineStr">
        <is>
          <t>Cota Condominial</t>
        </is>
      </c>
      <c r="B22" s="38">
        <f>SUMIF(Lançamentos_Orçamento!$C$4:$C$13,A22,Lançamentos_Orçamento!$J$4:$J$13)</f>
        <v/>
      </c>
      <c r="C22" s="38">
        <f>SUMIF(Lançamentos_Orçamento!$C$4:$C$13,A22,Lançamentos_Orçamento!$K$4:$K$13)</f>
        <v/>
      </c>
      <c r="D22" s="38">
        <f>C22-B22</f>
        <v/>
      </c>
      <c r="E22" s="39">
        <f>IFERROR(C22/B22,0)</f>
        <v/>
      </c>
    </row>
    <row r="23">
      <c r="A23" s="10" t="inlineStr">
        <is>
          <t>Inadimplência</t>
        </is>
      </c>
      <c r="B23" s="41">
        <f>SUMIF(Lançamentos_Orçamento!$C$4:$C$13,A23,Lançamentos_Orçamento!$J$4:$J$13)</f>
        <v/>
      </c>
      <c r="C23" s="41">
        <f>SUMIF(Lançamentos_Orçamento!$C$4:$C$13,A23,Lançamentos_Orçamento!$K$4:$K$13)</f>
        <v/>
      </c>
      <c r="D23" s="41">
        <f>C23-B23</f>
        <v/>
      </c>
      <c r="E23" s="42">
        <f>IFERROR(C23/B23,0)</f>
        <v/>
      </c>
    </row>
    <row r="24">
      <c r="A24" s="5" t="inlineStr">
        <is>
          <t>Limpeza</t>
        </is>
      </c>
      <c r="B24" s="38">
        <f>SUMIF(Lançamentos_Orçamento!$C$4:$C$13,A24,Lançamentos_Orçamento!$J$4:$J$13)</f>
        <v/>
      </c>
      <c r="C24" s="38">
        <f>SUMIF(Lançamentos_Orçamento!$C$4:$C$13,A24,Lançamentos_Orçamento!$K$4:$K$13)</f>
        <v/>
      </c>
      <c r="D24" s="38">
        <f>C24-B24</f>
        <v/>
      </c>
      <c r="E24" s="39">
        <f>IFERROR(C24/B24,0)</f>
        <v/>
      </c>
    </row>
    <row r="25">
      <c r="A25" s="10" t="inlineStr">
        <is>
          <t>Portaria</t>
        </is>
      </c>
      <c r="B25" s="41">
        <f>SUMIF(Lançamentos_Orçamento!$C$4:$C$13,A25,Lançamentos_Orçamento!$J$4:$J$13)</f>
        <v/>
      </c>
      <c r="C25" s="41">
        <f>SUMIF(Lançamentos_Orçamento!$C$4:$C$13,A25,Lançamentos_Orçamento!$K$4:$K$13)</f>
        <v/>
      </c>
      <c r="D25" s="41">
        <f>C25-B25</f>
        <v/>
      </c>
      <c r="E25" s="42">
        <f>IFERROR(C25/B25,0)</f>
        <v/>
      </c>
    </row>
    <row r="26">
      <c r="A26" s="5" t="inlineStr">
        <is>
          <t>Energia Elétrica</t>
        </is>
      </c>
      <c r="B26" s="38">
        <f>SUMIF(Lançamentos_Orçamento!$C$4:$C$13,A26,Lançamentos_Orçamento!$J$4:$J$13)</f>
        <v/>
      </c>
      <c r="C26" s="38">
        <f>SUMIF(Lançamentos_Orçamento!$C$4:$C$13,A26,Lançamentos_Orçamento!$K$4:$K$13)</f>
        <v/>
      </c>
      <c r="D26" s="38">
        <f>C26-B26</f>
        <v/>
      </c>
      <c r="E26" s="39">
        <f>IFERROR(C26/B26,0)</f>
        <v/>
      </c>
    </row>
    <row r="27">
      <c r="A27" s="10" t="inlineStr">
        <is>
          <t>Água e Esgoto</t>
        </is>
      </c>
      <c r="B27" s="41">
        <f>SUMIF(Lançamentos_Orçamento!$C$4:$C$13,A27,Lançamentos_Orçamento!$J$4:$J$13)</f>
        <v/>
      </c>
      <c r="C27" s="41">
        <f>SUMIF(Lançamentos_Orçamento!$C$4:$C$13,A27,Lançamentos_Orçamento!$K$4:$K$13)</f>
        <v/>
      </c>
      <c r="D27" s="41">
        <f>C27-B27</f>
        <v/>
      </c>
      <c r="E27" s="42">
        <f>IFERROR(C27/B27,0)</f>
        <v/>
      </c>
    </row>
    <row r="28">
      <c r="A28" s="5" t="inlineStr">
        <is>
          <t>Manutenção de Elevadores</t>
        </is>
      </c>
      <c r="B28" s="38">
        <f>SUMIF(Lançamentos_Orçamento!$C$4:$C$13,A28,Lançamentos_Orçamento!$J$4:$J$13)</f>
        <v/>
      </c>
      <c r="C28" s="38">
        <f>SUMIF(Lançamentos_Orçamento!$C$4:$C$13,A28,Lançamentos_Orçamento!$K$4:$K$13)</f>
        <v/>
      </c>
      <c r="D28" s="38">
        <f>C28-B28</f>
        <v/>
      </c>
      <c r="E28" s="39">
        <f>IFERROR(C28/B28,0)</f>
        <v/>
      </c>
    </row>
    <row r="29">
      <c r="A29" s="10" t="inlineStr">
        <is>
          <t>Jardinagem</t>
        </is>
      </c>
      <c r="B29" s="41">
        <f>SUMIF(Lançamentos_Orçamento!$C$4:$C$13,A29,Lançamentos_Orçamento!$J$4:$J$13)</f>
        <v/>
      </c>
      <c r="C29" s="41">
        <f>SUMIF(Lançamentos_Orçamento!$C$4:$C$13,A29,Lançamentos_Orçamento!$K$4:$K$13)</f>
        <v/>
      </c>
      <c r="D29" s="41">
        <f>C29-B29</f>
        <v/>
      </c>
      <c r="E29" s="42">
        <f>IFERROR(C29/B29,0)</f>
        <v/>
      </c>
    </row>
    <row r="30">
      <c r="A30" s="5" t="inlineStr">
        <is>
          <t>Fundo de Reserva</t>
        </is>
      </c>
      <c r="B30" s="38">
        <f>SUMIF(Lançamentos_Orçamento!$C$4:$C$13,A30,Lançamentos_Orçamento!$J$4:$J$13)</f>
        <v/>
      </c>
      <c r="C30" s="38">
        <f>SUMIF(Lançamentos_Orçamento!$C$4:$C$13,A30,Lançamentos_Orçamento!$K$4:$K$13)</f>
        <v/>
      </c>
      <c r="D30" s="38">
        <f>C30-B30</f>
        <v/>
      </c>
      <c r="E30" s="39">
        <f>IFERROR(C30/B30,0)</f>
        <v/>
      </c>
    </row>
    <row r="31"/>
    <row r="32"/>
    <row r="33">
      <c r="A33" s="17" t="inlineStr">
        <is>
          <t>RESUMO POR MÊS</t>
        </is>
      </c>
    </row>
    <row r="34">
      <c r="A34" s="3" t="inlineStr">
        <is>
          <t>Competência</t>
        </is>
      </c>
      <c r="B34" s="3" t="inlineStr">
        <is>
          <t>Previsto Receita</t>
        </is>
      </c>
      <c r="C34" s="3" t="inlineStr">
        <is>
          <t>Previsto Despesa</t>
        </is>
      </c>
      <c r="D34" s="3" t="inlineStr">
        <is>
          <t>Realizado Receita</t>
        </is>
      </c>
      <c r="E34" s="3" t="inlineStr">
        <is>
          <t>Realizado Despesa</t>
        </is>
      </c>
      <c r="F34" s="3" t="inlineStr">
        <is>
          <t>Saldo Previsto</t>
        </is>
      </c>
      <c r="G34" s="3" t="inlineStr">
        <is>
          <t>Saldo Realizado</t>
        </is>
      </c>
    </row>
    <row r="35">
      <c r="A35" s="5" t="inlineStr">
        <is>
          <t>Jan/2026</t>
        </is>
      </c>
      <c r="B35" s="38">
        <f>SUMIFS(Lançamentos_Orçamento!$J$4:$J$13,Lançamentos_Orçamento!$B$4:$B$13,A35,Lançamentos_Orçamento!$E$4:$E$13,"Receita")</f>
        <v/>
      </c>
      <c r="C35" s="38">
        <f>SUMIFS(Lançamentos_Orçamento!$J$4:$J$13,Lançamentos_Orçamento!$B$4:$B$13,A35,Lançamentos_Orçamento!$E$4:$E$13,"Despesa")</f>
        <v/>
      </c>
      <c r="D35" s="38">
        <f>SUMIFS(Lançamentos_Orçamento!$K$4:$K$13,Lançamentos_Orçamento!$B$4:$B$13,A35,Lançamentos_Orçamento!$E$4:$E$13,"Receita")</f>
        <v/>
      </c>
      <c r="E35" s="38">
        <f>SUMIFS(Lançamentos_Orçamento!$K$4:$K$13,Lançamentos_Orçamento!$B$4:$B$13,A35,Lançamentos_Orçamento!$E$4:$E$13,"Despesa")</f>
        <v/>
      </c>
      <c r="F35" s="38">
        <f>B35-C35</f>
        <v/>
      </c>
      <c r="G35" s="38">
        <f>D35-E35</f>
        <v/>
      </c>
    </row>
    <row r="36">
      <c r="A36" s="10" t="inlineStr">
        <is>
          <t>Fev/2026</t>
        </is>
      </c>
      <c r="B36" s="41">
        <f>SUMIFS(Lançamentos_Orçamento!$J$4:$J$13,Lançamentos_Orçamento!$B$4:$B$13,A36,Lançamentos_Orçamento!$E$4:$E$13,"Receita")</f>
        <v/>
      </c>
      <c r="C36" s="41">
        <f>SUMIFS(Lançamentos_Orçamento!$J$4:$J$13,Lançamentos_Orçamento!$B$4:$B$13,A36,Lançamentos_Orçamento!$E$4:$E$13,"Despesa")</f>
        <v/>
      </c>
      <c r="D36" s="41">
        <f>SUMIFS(Lançamentos_Orçamento!$K$4:$K$13,Lançamentos_Orçamento!$B$4:$B$13,A36,Lançamentos_Orçamento!$E$4:$E$13,"Receita")</f>
        <v/>
      </c>
      <c r="E36" s="41">
        <f>SUMIFS(Lançamentos_Orçamento!$K$4:$K$13,Lançamentos_Orçamento!$B$4:$B$13,A36,Lançamentos_Orçamento!$E$4:$E$13,"Despesa")</f>
        <v/>
      </c>
      <c r="F36" s="41">
        <f>B36-C36</f>
        <v/>
      </c>
      <c r="G36" s="41">
        <f>D36-E36</f>
        <v/>
      </c>
    </row>
    <row r="37">
      <c r="A37" s="5" t="inlineStr">
        <is>
          <t>Mar/2026</t>
        </is>
      </c>
      <c r="B37" s="38">
        <f>SUMIFS(Lançamentos_Orçamento!$J$4:$J$13,Lançamentos_Orçamento!$B$4:$B$13,A37,Lançamentos_Orçamento!$E$4:$E$13,"Receita")</f>
        <v/>
      </c>
      <c r="C37" s="38">
        <f>SUMIFS(Lançamentos_Orçamento!$J$4:$J$13,Lançamentos_Orçamento!$B$4:$B$13,A37,Lançamentos_Orçamento!$E$4:$E$13,"Despesa")</f>
        <v/>
      </c>
      <c r="D37" s="38">
        <f>SUMIFS(Lançamentos_Orçamento!$K$4:$K$13,Lançamentos_Orçamento!$B$4:$B$13,A37,Lançamentos_Orçamento!$E$4:$E$13,"Receita")</f>
        <v/>
      </c>
      <c r="E37" s="38">
        <f>SUMIFS(Lançamentos_Orçamento!$K$4:$K$13,Lançamentos_Orçamento!$B$4:$B$13,A37,Lançamentos_Orçamento!$E$4:$E$13,"Despesa")</f>
        <v/>
      </c>
      <c r="F37" s="38">
        <f>B37-C37</f>
        <v/>
      </c>
      <c r="G37" s="38">
        <f>D37-E37</f>
        <v/>
      </c>
    </row>
    <row r="38">
      <c r="A38" s="10" t="inlineStr">
        <is>
          <t>Abr/2026</t>
        </is>
      </c>
      <c r="B38" s="41">
        <f>SUMIFS(Lançamentos_Orçamento!$J$4:$J$13,Lançamentos_Orçamento!$B$4:$B$13,A38,Lançamentos_Orçamento!$E$4:$E$13,"Receita")</f>
        <v/>
      </c>
      <c r="C38" s="41">
        <f>SUMIFS(Lançamentos_Orçamento!$J$4:$J$13,Lançamentos_Orçamento!$B$4:$B$13,A38,Lançamentos_Orçamento!$E$4:$E$13,"Despesa")</f>
        <v/>
      </c>
      <c r="D38" s="41">
        <f>SUMIFS(Lançamentos_Orçamento!$K$4:$K$13,Lançamentos_Orçamento!$B$4:$B$13,A38,Lançamentos_Orçamento!$E$4:$E$13,"Receita")</f>
        <v/>
      </c>
      <c r="E38" s="41">
        <f>SUMIFS(Lançamentos_Orçamento!$K$4:$K$13,Lançamentos_Orçamento!$B$4:$B$13,A38,Lançamentos_Orçamento!$E$4:$E$13,"Despesa")</f>
        <v/>
      </c>
      <c r="F38" s="41">
        <f>B38-C38</f>
        <v/>
      </c>
      <c r="G38" s="41">
        <f>D38-E38</f>
        <v/>
      </c>
    </row>
    <row r="39">
      <c r="A39" s="5" t="inlineStr">
        <is>
          <t>Mai/2026</t>
        </is>
      </c>
      <c r="B39" s="38">
        <f>SUMIFS(Lançamentos_Orçamento!$J$4:$J$13,Lançamentos_Orçamento!$B$4:$B$13,A39,Lançamentos_Orçamento!$E$4:$E$13,"Receita")</f>
        <v/>
      </c>
      <c r="C39" s="38">
        <f>SUMIFS(Lançamentos_Orçamento!$J$4:$J$13,Lançamentos_Orçamento!$B$4:$B$13,A39,Lançamentos_Orçamento!$E$4:$E$13,"Despesa")</f>
        <v/>
      </c>
      <c r="D39" s="38">
        <f>SUMIFS(Lançamentos_Orçamento!$K$4:$K$13,Lançamentos_Orçamento!$B$4:$B$13,A39,Lançamentos_Orçamento!$E$4:$E$13,"Receita")</f>
        <v/>
      </c>
      <c r="E39" s="38">
        <f>SUMIFS(Lançamentos_Orçamento!$K$4:$K$13,Lançamentos_Orçamento!$B$4:$B$13,A39,Lançamentos_Orçamento!$E$4:$E$13,"Despesa")</f>
        <v/>
      </c>
      <c r="F39" s="38">
        <f>B39-C39</f>
        <v/>
      </c>
      <c r="G39" s="38">
        <f>D39-E39</f>
        <v/>
      </c>
    </row>
    <row r="40"/>
    <row r="41"/>
    <row r="42">
      <c r="A42" s="17" t="inlineStr">
        <is>
          <t>RESUMO POR CENTRO DE CUSTO (DESPESAS REALIZADAS)</t>
        </is>
      </c>
    </row>
    <row r="43">
      <c r="A43" s="3" t="inlineStr">
        <is>
          <t>Centro de Custo</t>
        </is>
      </c>
      <c r="B43" s="3" t="inlineStr">
        <is>
          <t>Valor Realizado</t>
        </is>
      </c>
      <c r="C43" s="3" t="inlineStr">
        <is>
          <t>% Participação</t>
        </is>
      </c>
    </row>
    <row r="44">
      <c r="A44" s="5" t="inlineStr">
        <is>
          <t>Administrativo</t>
        </is>
      </c>
      <c r="B44" s="38">
        <f>SUMIFS(Lançamentos_Orçamento!$K$4:$K$13,Lançamentos_Orçamento!$H$4:$H$13,A44,Lançamentos_Orçamento!$E$4:$E$13,"Despesa")</f>
        <v/>
      </c>
      <c r="C44" s="39">
        <f>IFERROR(B44/B48,0)</f>
        <v/>
      </c>
    </row>
    <row r="45">
      <c r="A45" s="10" t="inlineStr">
        <is>
          <t>Manutenção</t>
        </is>
      </c>
      <c r="B45" s="41">
        <f>SUMIFS(Lançamentos_Orçamento!$K$4:$K$13,Lançamentos_Orçamento!$H$4:$H$13,A45,Lançamentos_Orçamento!$E$4:$E$13,"Despesa")</f>
        <v/>
      </c>
      <c r="C45" s="42">
        <f>IFERROR(B45/B48,0)</f>
        <v/>
      </c>
    </row>
    <row r="46">
      <c r="A46" s="5" t="inlineStr">
        <is>
          <t>Pessoal</t>
        </is>
      </c>
      <c r="B46" s="38">
        <f>SUMIFS(Lançamentos_Orçamento!$K$4:$K$13,Lançamentos_Orçamento!$H$4:$H$13,A46,Lançamentos_Orçamento!$E$4:$E$13,"Despesa")</f>
        <v/>
      </c>
      <c r="C46" s="39">
        <f>IFERROR(B46/B48,0)</f>
        <v/>
      </c>
    </row>
    <row r="47">
      <c r="A47" s="10" t="inlineStr">
        <is>
          <t>Água/Luz</t>
        </is>
      </c>
      <c r="B47" s="41">
        <f>SUMIFS(Lançamentos_Orçamento!$K$4:$K$13,Lançamentos_Orçamento!$H$4:$H$13,A47,Lançamentos_Orçamento!$E$4:$E$13,"Despesa")</f>
        <v/>
      </c>
      <c r="C47" s="42">
        <f>IFERROR(B47/B48,0)</f>
        <v/>
      </c>
    </row>
    <row r="48">
      <c r="A48" s="13" t="inlineStr">
        <is>
          <t>Total</t>
        </is>
      </c>
      <c r="B48" s="44">
        <f>SUM(B44:B47)</f>
        <v/>
      </c>
    </row>
  </sheetData>
  <mergeCells count="5">
    <mergeCell ref="A1:G1"/>
    <mergeCell ref="A5:G5"/>
    <mergeCell ref="A20:E20"/>
    <mergeCell ref="A33:G33"/>
    <mergeCell ref="A42:C42"/>
  </mergeCells>
  <dataValidations count="1">
    <dataValidation sqref="B3" showErrorMessage="1" showInputMessage="1" allowBlank="1" type="list">
      <formula1>"Jan/2026,Fev/2026,Mar/2026,Abr/2026,Mai/2026"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10" customWidth="1" min="3" max="3"/>
    <col width="16" customWidth="1" min="4" max="4"/>
    <col width="16" customWidth="1" min="5" max="5"/>
    <col width="38" customWidth="1" min="6" max="6"/>
    <col width="22" customWidth="1" min="7" max="7"/>
    <col width="14" customWidth="1" min="8" max="8"/>
    <col width="14" customWidth="1" min="9" max="9"/>
  </cols>
  <sheetData>
    <row r="1" ht="28" customHeight="1">
      <c r="A1" s="1" t="inlineStr">
        <is>
          <t>PARÂMETROS E PREMISSAS ORÇAMENTÁRIAS</t>
        </is>
      </c>
    </row>
    <row r="2"/>
    <row r="3">
      <c r="A3" s="3" t="inlineStr">
        <is>
          <t>Categoria</t>
        </is>
      </c>
      <c r="B3" s="3" t="inlineStr">
        <is>
          <t>Subcategoria</t>
        </is>
      </c>
      <c r="C3" s="3" t="inlineStr">
        <is>
          <t>Tipo</t>
        </is>
      </c>
      <c r="D3" s="3" t="inlineStr">
        <is>
          <t>% Reajuste Anual</t>
        </is>
      </c>
      <c r="E3" s="3" t="inlineStr">
        <is>
          <t>Índice de Correção</t>
        </is>
      </c>
      <c r="F3" s="3" t="inlineStr">
        <is>
          <t>Observação Contratual</t>
        </is>
      </c>
      <c r="G3" s="3" t="inlineStr">
        <is>
          <t>Base de Cálculo</t>
        </is>
      </c>
      <c r="H3" s="3" t="inlineStr">
        <is>
          <t>Vigência Inicial</t>
        </is>
      </c>
      <c r="I3" s="3" t="inlineStr">
        <is>
          <t>Vigência Final</t>
        </is>
      </c>
    </row>
    <row r="4">
      <c r="A4" s="5" t="inlineStr">
        <is>
          <t>Cota Condominial</t>
        </is>
      </c>
      <c r="B4" s="5" t="inlineStr">
        <is>
          <t>Cota Mensal</t>
        </is>
      </c>
      <c r="C4" s="5" t="inlineStr">
        <is>
          <t>Receita</t>
        </is>
      </c>
      <c r="D4" s="49" t="n">
        <v>8</v>
      </c>
      <c r="E4" s="28" t="inlineStr">
        <is>
          <t>IGP-M</t>
        </is>
      </c>
      <c r="F4" s="5" t="inlineStr">
        <is>
          <t>Reajuste anual conforme aprovação em assembleia</t>
        </is>
      </c>
      <c r="G4" s="5" t="inlineStr">
        <is>
          <t>Valor por fração ideal</t>
        </is>
      </c>
      <c r="H4" s="50" t="n">
        <v>46023</v>
      </c>
      <c r="I4" s="50" t="n">
        <v>46387</v>
      </c>
    </row>
    <row r="5">
      <c r="A5" s="10" t="inlineStr">
        <is>
          <t>Inadimplência</t>
        </is>
      </c>
      <c r="B5" s="10" t="inlineStr">
        <is>
          <t>Atraso de Cota</t>
        </is>
      </c>
      <c r="C5" s="10" t="inlineStr">
        <is>
          <t>Receita</t>
        </is>
      </c>
      <c r="D5" s="49" t="n">
        <v>0</v>
      </c>
      <c r="E5" s="30" t="inlineStr">
        <is>
          <t>-</t>
        </is>
      </c>
      <c r="F5" s="10" t="inlineStr">
        <is>
          <t>Multa de 2% + juros de 1% ao mês</t>
        </is>
      </c>
      <c r="G5" s="10" t="inlineStr">
        <is>
          <t>Regimento interno</t>
        </is>
      </c>
      <c r="H5" s="51" t="n">
        <v>46023</v>
      </c>
      <c r="I5" s="51" t="n">
        <v>46387</v>
      </c>
    </row>
    <row r="6">
      <c r="A6" s="5" t="inlineStr">
        <is>
          <t>Limpeza</t>
        </is>
      </c>
      <c r="B6" s="5" t="inlineStr">
        <is>
          <t>Limpeza Terceirizada</t>
        </is>
      </c>
      <c r="C6" s="5" t="inlineStr">
        <is>
          <t>Despesa</t>
        </is>
      </c>
      <c r="D6" s="49" t="n">
        <v>6</v>
      </c>
      <c r="E6" s="28" t="inlineStr">
        <is>
          <t>IPCA</t>
        </is>
      </c>
      <c r="F6" s="5" t="inlineStr">
        <is>
          <t>Contrato anual renovável automaticamente</t>
        </is>
      </c>
      <c r="G6" s="5" t="inlineStr">
        <is>
          <t>Valor fixo mensal</t>
        </is>
      </c>
      <c r="H6" s="50" t="n">
        <v>46023</v>
      </c>
      <c r="I6" s="50" t="n">
        <v>46387</v>
      </c>
    </row>
    <row r="7">
      <c r="A7" s="10" t="inlineStr">
        <is>
          <t>Portaria</t>
        </is>
      </c>
      <c r="B7" s="10" t="inlineStr">
        <is>
          <t>Portaria 24h</t>
        </is>
      </c>
      <c r="C7" s="10" t="inlineStr">
        <is>
          <t>Despesa</t>
        </is>
      </c>
      <c r="D7" s="49" t="n">
        <v>7</v>
      </c>
      <c r="E7" s="30" t="inlineStr">
        <is>
          <t>INPC</t>
        </is>
      </c>
      <c r="F7" s="10" t="inlineStr">
        <is>
          <t>Contrato com empresa terceirizada de segurança</t>
        </is>
      </c>
      <c r="G7" s="10" t="inlineStr">
        <is>
          <t>Valor fixo mensal</t>
        </is>
      </c>
      <c r="H7" s="51" t="n">
        <v>46023</v>
      </c>
      <c r="I7" s="51" t="n">
        <v>46387</v>
      </c>
    </row>
    <row r="8">
      <c r="A8" s="5" t="inlineStr">
        <is>
          <t>Energia Elétrica</t>
        </is>
      </c>
      <c r="B8" s="5" t="inlineStr">
        <is>
          <t>Energia Áreas Comuns</t>
        </is>
      </c>
      <c r="C8" s="5" t="inlineStr">
        <is>
          <t>Despesa</t>
        </is>
      </c>
      <c r="D8" s="49" t="n">
        <v>5</v>
      </c>
      <c r="E8" s="28" t="inlineStr">
        <is>
          <t>IPCA</t>
        </is>
      </c>
      <c r="F8" s="5" t="inlineStr">
        <is>
          <t>Tarifa pode variar conforme bandeira tarifária</t>
        </is>
      </c>
      <c r="G8" s="5" t="inlineStr">
        <is>
          <t>Consumo medido (kWh)</t>
        </is>
      </c>
      <c r="H8" s="50" t="n">
        <v>46023</v>
      </c>
      <c r="I8" s="50" t="n">
        <v>46387</v>
      </c>
    </row>
    <row r="9">
      <c r="A9" s="10" t="inlineStr">
        <is>
          <t>Água e Esgoto</t>
        </is>
      </c>
      <c r="B9" s="10" t="inlineStr">
        <is>
          <t>Água e Esgoto</t>
        </is>
      </c>
      <c r="C9" s="10" t="inlineStr">
        <is>
          <t>Despesa</t>
        </is>
      </c>
      <c r="D9" s="49" t="n">
        <v>5</v>
      </c>
      <c r="E9" s="30" t="inlineStr">
        <is>
          <t>IPCA</t>
        </is>
      </c>
      <c r="F9" s="10" t="inlineStr">
        <is>
          <t>Reajuste conforme tabela da concessionária</t>
        </is>
      </c>
      <c r="G9" s="10" t="inlineStr">
        <is>
          <t>Consumo medido (m³)</t>
        </is>
      </c>
      <c r="H9" s="51" t="n">
        <v>46023</v>
      </c>
      <c r="I9" s="51" t="n">
        <v>46387</v>
      </c>
    </row>
    <row r="10">
      <c r="A10" s="5" t="inlineStr">
        <is>
          <t>Manutenção de Elevadores</t>
        </is>
      </c>
      <c r="B10" s="5" t="inlineStr">
        <is>
          <t>Manutenção Preventiva</t>
        </is>
      </c>
      <c r="C10" s="5" t="inlineStr">
        <is>
          <t>Despesa</t>
        </is>
      </c>
      <c r="D10" s="49" t="n">
        <v>6</v>
      </c>
      <c r="E10" s="28" t="inlineStr">
        <is>
          <t>IGP-M</t>
        </is>
      </c>
      <c r="F10" s="5" t="inlineStr">
        <is>
          <t>Contrato com empresa especializada</t>
        </is>
      </c>
      <c r="G10" s="5" t="inlineStr">
        <is>
          <t>Valor fixo mensal + peças</t>
        </is>
      </c>
      <c r="H10" s="50" t="n">
        <v>46023</v>
      </c>
      <c r="I10" s="50" t="n">
        <v>46387</v>
      </c>
    </row>
    <row r="11">
      <c r="A11" s="10" t="inlineStr">
        <is>
          <t>Jardinagem</t>
        </is>
      </c>
      <c r="B11" s="10" t="inlineStr">
        <is>
          <t>Jardins e Paisagismo</t>
        </is>
      </c>
      <c r="C11" s="10" t="inlineStr">
        <is>
          <t>Despesa</t>
        </is>
      </c>
      <c r="D11" s="49" t="n">
        <v>4</v>
      </c>
      <c r="E11" s="30" t="inlineStr">
        <is>
          <t>IPCA</t>
        </is>
      </c>
      <c r="F11" s="10" t="inlineStr">
        <is>
          <t>Contrato trimestral renovável</t>
        </is>
      </c>
      <c r="G11" s="10" t="inlineStr">
        <is>
          <t>Valor fixo mensal</t>
        </is>
      </c>
      <c r="H11" s="51" t="n">
        <v>46023</v>
      </c>
      <c r="I11" s="51" t="n">
        <v>46387</v>
      </c>
    </row>
    <row r="12">
      <c r="A12" s="5" t="inlineStr">
        <is>
          <t>Fundo de Reserva</t>
        </is>
      </c>
      <c r="B12" s="5" t="inlineStr">
        <is>
          <t>Provisão Fundo de Reserva</t>
        </is>
      </c>
      <c r="C12" s="5" t="inlineStr">
        <is>
          <t>Despesa</t>
        </is>
      </c>
      <c r="D12" s="49" t="n">
        <v>0</v>
      </c>
      <c r="E12" s="28" t="inlineStr">
        <is>
          <t>-</t>
        </is>
      </c>
      <c r="F12" s="5" t="inlineStr">
        <is>
          <t>Definido em assembleia (10% da receita bruta)</t>
        </is>
      </c>
      <c r="G12" s="5" t="inlineStr">
        <is>
          <t>% sobre receita bruta</t>
        </is>
      </c>
      <c r="H12" s="50" t="n">
        <v>46023</v>
      </c>
      <c r="I12" s="50" t="n">
        <v>46387</v>
      </c>
    </row>
    <row r="13">
      <c r="A13" s="10" t="inlineStr">
        <is>
          <t>Administração</t>
        </is>
      </c>
      <c r="B13" s="10" t="inlineStr">
        <is>
          <t>Honorários Administradora</t>
        </is>
      </c>
      <c r="C13" s="10" t="inlineStr">
        <is>
          <t>Despesa</t>
        </is>
      </c>
      <c r="D13" s="49" t="n">
        <v>5</v>
      </c>
      <c r="E13" s="30" t="inlineStr">
        <is>
          <t>IGP-M</t>
        </is>
      </c>
      <c r="F13" s="10" t="inlineStr">
        <is>
          <t>Contrato de prestação de serviços de gestão</t>
        </is>
      </c>
      <c r="G13" s="10" t="inlineStr">
        <is>
          <t>Valor fixo mensal</t>
        </is>
      </c>
      <c r="H13" s="51" t="n">
        <v>46023</v>
      </c>
      <c r="I13" s="51" t="n">
        <v>46387</v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0" customWidth="1" min="1" max="1"/>
    <col width="80" customWidth="1" min="2" max="2"/>
  </cols>
  <sheetData>
    <row r="1" ht="28" customHeight="1">
      <c r="A1" s="1" t="inlineStr">
        <is>
          <t>INSTRUÇÕES DE USO — PREVISÃO ORÇAMENTÁRIA DE CONDOMÍNIO</t>
        </is>
      </c>
    </row>
    <row r="2"/>
    <row r="3" ht="46" customHeight="1">
      <c r="A3" s="32" t="inlineStr">
        <is>
          <t>1. Aba Lançamentos_Orçamento</t>
        </is>
      </c>
      <c r="B3" s="33" t="inlineStr">
        <is>
          <t>Registre todas as receitas e despesas do condomínio. Preencha Data, Competência, Categoria, Tipo (Receita/Despesa), Valor Previsto e Valor Realizado. As colunas Diferença, % Desvio e Status são calculadas automaticamente.</t>
        </is>
      </c>
    </row>
    <row r="4" ht="46" customHeight="1">
      <c r="A4" s="34" t="inlineStr">
        <is>
          <t>2. Status automático</t>
        </is>
      </c>
      <c r="B4" s="35" t="inlineStr">
        <is>
          <t>Se o Valor Realizado estiver vazio e a data já tiver passado, o status exibe 'Em atraso'. Se houver valor realizado igual ou maior que o previsto, exibe 'Pago'. Caso contrário, 'Pendente'.</t>
        </is>
      </c>
    </row>
    <row r="5" ht="46" customHeight="1">
      <c r="A5" s="32" t="inlineStr">
        <is>
          <t>3. Aba Resumo_Dashboard</t>
        </is>
      </c>
      <c r="B5" s="33" t="inlineStr">
        <is>
          <t>Painel gerencial com KPIs de execução orçamentária, resumo por categoria, por mês e por centro de custo, além de gráficos de Previsto x Realizado, evolução do saldo e participação por centro de custo.</t>
        </is>
      </c>
    </row>
    <row r="6" ht="46" customHeight="1">
      <c r="A6" s="34" t="inlineStr">
        <is>
          <t>4. Consulta de reajuste (VLOOKUP)</t>
        </is>
      </c>
      <c r="B6" s="35" t="inlineStr">
        <is>
          <t>Digite o nome de uma categoria na célula B17 do Dashboard para consultar automaticamente o percentual de reajuste anual cadastrado na aba Parâmetros.</t>
        </is>
      </c>
    </row>
    <row r="7" ht="46" customHeight="1">
      <c r="A7" s="32" t="inlineStr">
        <is>
          <t>5. Aba Parâmetros</t>
        </is>
      </c>
      <c r="B7" s="33" t="inlineStr">
        <is>
          <t>Cadastre categorias, subcategorias, percentuais de reajuste, índices de correção (IPCA, INPC, IGP-M) e vigências contratuais. Serve de base para fórmulas VLOOKUP e projeções.</t>
        </is>
      </c>
    </row>
    <row r="8" ht="46" customHeight="1">
      <c r="A8" s="34" t="inlineStr">
        <is>
          <t>6. Cores e formatação</t>
        </is>
      </c>
      <c r="B8" s="35" t="inlineStr">
        <is>
          <t>Fundo amarelo claro (#FFFBEB) indica células editáveis. Verde indica valores positivos/favoráveis e vermelho indica alertas, atrasos ou valores negativos.</t>
        </is>
      </c>
    </row>
    <row r="9" ht="46" customHeight="1">
      <c r="A9" s="32" t="inlineStr">
        <is>
          <t>7. Padrão brasileiro</t>
        </is>
      </c>
      <c r="B9" s="33" t="inlineStr">
        <is>
          <t>Todos os valores monetários seguem o padrão R$ 1.234,56 e as datas seguem o formato DD/MM/AAAA.</t>
        </is>
      </c>
    </row>
    <row r="10" ht="46" customHeight="1">
      <c r="A10" s="34" t="inlineStr">
        <is>
          <t>8. Atualização periódica</t>
        </is>
      </c>
      <c r="B10" s="35" t="inlineStr">
        <is>
          <t>Recomenda-se atualizar os lançamentos mensalmente, revisando previsto x realizado antes do fechamento contábil do condomínio.</t>
        </is>
      </c>
    </row>
  </sheetData>
  <mergeCells count="9">
    <mergeCell ref="A1:B1"/>
    <mergeCell ref="B3"/>
    <mergeCell ref="B4"/>
    <mergeCell ref="B5"/>
    <mergeCell ref="B6"/>
    <mergeCell ref="B7"/>
    <mergeCell ref="B8"/>
    <mergeCell ref="B9"/>
    <mergeCell ref="B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2026-07-14T03:13:41Z</dcterms:created>
  <dcterms:modified xmlns:dcterms="http://purl.org/dc/terms/" xmlns:xsi="http://www.w3.org/2001/XMLSchema-instance" xsi:type="dcterms:W3CDTF">2026-07-14T03:13:41Z</dcterms:modified>
</cp:coreProperties>
</file>