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dições" sheetId="1" state="visible" r:id="rId1"/>
    <sheet xmlns:r="http://schemas.openxmlformats.org/officeDocument/2006/relationships" name="Serviç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'Medições'!$A$1:$X$10</definedName>
    <definedName name="_xlnm._FilterDatabase" localSheetId="1" hidden="1">'Serviços'!$A$1:$G$11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R$&quot; #,##0.00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</font>
    <font>
      <b val="1"/>
      <color rgb="000F172A"/>
    </font>
    <font>
      <b val="1"/>
      <color rgb="00C8102E"/>
      <sz val="12"/>
    </font>
    <font>
      <b val="1"/>
      <color rgb="00FFFFFF"/>
      <sz val="13"/>
    </font>
    <font>
      <b val="1"/>
      <color rgb="001E293B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7E6"/>
      </patternFill>
    </fill>
    <fill>
      <patternFill patternType="solid">
        <fgColor rgb="00F0F9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right" vertical="center"/>
    </xf>
    <xf numFmtId="10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0" fontId="0" fillId="0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0" fontId="2" fillId="2" borderId="0" applyAlignment="1" pivotButton="0" quotePrefix="0" xfId="0">
      <alignment horizontal="center" vertical="center" wrapText="1"/>
    </xf>
    <xf numFmtId="0" fontId="3" fillId="0" borderId="1" pivotButton="0" quotePrefix="0" xfId="0"/>
    <xf numFmtId="165" fontId="4" fillId="6" borderId="1" applyAlignment="1" pivotButton="0" quotePrefix="0" xfId="0">
      <alignment horizontal="right" vertical="center"/>
    </xf>
    <xf numFmtId="10" fontId="4" fillId="6" borderId="1" applyAlignment="1" pivotButton="0" quotePrefix="0" xfId="0">
      <alignment horizontal="right" vertical="center"/>
    </xf>
    <xf numFmtId="1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0" fontId="5" fillId="0" borderId="0" pivotButton="0" quotePrefix="0" xfId="0"/>
    <xf numFmtId="0" fontId="1" fillId="7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164" fontId="0" fillId="0" borderId="1" pivotButton="0" quotePrefix="0" xfId="0"/>
    <xf numFmtId="0" fontId="6" fillId="2" borderId="0" applyAlignment="1" pivotButton="0" quotePrefix="0" xfId="0">
      <alignment horizontal="center" vertical="center" wrapText="1"/>
    </xf>
    <xf numFmtId="0" fontId="7" fillId="6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5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Contratado x Medido Acumulado por Etapa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'Resumo'!F13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'Resumo'!$E$14:$E$19</f>
            </numRef>
          </cat>
          <val>
            <numRef>
              <f>'Resumo'!$F$14:$F$19</f>
            </numRef>
          </val>
        </ser>
        <ser>
          <idx val="1"/>
          <order val="1"/>
          <tx>
            <strRef>
              <f>'Resumo'!G13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'Resumo'!$E$14:$E$19</f>
            </numRef>
          </cat>
          <val>
            <numRef>
              <f>'Resumo'!$G$14:$G$19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Etapa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Valor Medido no Período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'Resumo'!B23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'Resumo'!$A$24:$A$32</f>
            </numRef>
          </cat>
          <val>
            <numRef>
              <f>'Resumo'!$B$24:$B$32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doughnutChart>
        <varyColors val="1"/>
        <ser>
          <idx val="0"/>
          <order val="0"/>
          <tx>
            <strRef>
              <f>'Resumo'!B13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'Resumo'!$A$14:$A$16</f>
            </numRef>
          </cat>
          <val>
            <numRef>
              <f>'Resumo'!$B$14:$B$16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39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12" customWidth="1" min="3" max="3"/>
    <col width="26" customWidth="1" min="4" max="4"/>
    <col width="26" customWidth="1" min="5" max="5"/>
    <col width="16" customWidth="1" min="6" max="6"/>
    <col width="9" customWidth="1" min="7" max="7"/>
    <col width="30" customWidth="1" min="8" max="8"/>
    <col width="9" customWidth="1" min="9" max="9"/>
    <col width="14" customWidth="1" min="10" max="10"/>
    <col width="13" customWidth="1" min="11" max="11"/>
    <col width="14" customWidth="1" min="12" max="12"/>
    <col width="14" customWidth="1" min="13" max="13"/>
    <col width="14" customWidth="1" min="14" max="14"/>
    <col width="13" customWidth="1" min="15" max="15"/>
    <col width="11" customWidth="1" min="16" max="16"/>
    <col width="15" customWidth="1" min="17" max="17"/>
    <col width="15" customWidth="1" min="18" max="18"/>
    <col width="11" customWidth="1" min="19" max="19"/>
    <col width="13" customWidth="1" min="20" max="20"/>
    <col width="15" customWidth="1" min="21" max="21"/>
    <col width="11" customWidth="1" min="22" max="22"/>
    <col width="13" customWidth="1" min="23" max="23"/>
    <col width="26" customWidth="1" min="24" max="24"/>
  </cols>
  <sheetData>
    <row r="1">
      <c r="A1" s="1" t="inlineStr">
        <is>
          <t>ID</t>
        </is>
      </c>
      <c r="B1" s="1" t="inlineStr">
        <is>
          <t>Data da Medição</t>
        </is>
      </c>
      <c r="C1" s="1" t="inlineStr">
        <is>
          <t>Contrato</t>
        </is>
      </c>
      <c r="D1" s="1" t="inlineStr">
        <is>
          <t>Obra</t>
        </is>
      </c>
      <c r="E1" s="1" t="inlineStr">
        <is>
          <t>Cliente/Contratante</t>
        </is>
      </c>
      <c r="F1" s="1" t="inlineStr">
        <is>
          <t>Responsável</t>
        </is>
      </c>
      <c r="G1" s="1" t="inlineStr">
        <is>
          <t>Código</t>
        </is>
      </c>
      <c r="H1" s="1" t="inlineStr">
        <is>
          <t>Serviço</t>
        </is>
      </c>
      <c r="I1" s="1" t="inlineStr">
        <is>
          <t>Unidade</t>
        </is>
      </c>
      <c r="J1" s="1" t="inlineStr">
        <is>
          <t>Qtd. Contratada</t>
        </is>
      </c>
      <c r="K1" s="1" t="inlineStr">
        <is>
          <t>Preço Unitário</t>
        </is>
      </c>
      <c r="L1" s="1" t="inlineStr">
        <is>
          <t>Valor Contratado</t>
        </is>
      </c>
      <c r="M1" s="1" t="inlineStr">
        <is>
          <t>Qtd. Medida Anterior</t>
        </is>
      </c>
      <c r="N1" s="1" t="inlineStr">
        <is>
          <t>Qtd. Medida no Período</t>
        </is>
      </c>
      <c r="O1" s="1" t="inlineStr">
        <is>
          <t>Qtd. Acumulada</t>
        </is>
      </c>
      <c r="P1" s="1" t="inlineStr">
        <is>
          <t>% Executado</t>
        </is>
      </c>
      <c r="Q1" s="1" t="inlineStr">
        <is>
          <t>Valor Medido no Período</t>
        </is>
      </c>
      <c r="R1" s="1" t="inlineStr">
        <is>
          <t>Valor Medido Acumulado</t>
        </is>
      </c>
      <c r="S1" s="1" t="inlineStr">
        <is>
          <t>Retenção (%)</t>
        </is>
      </c>
      <c r="T1" s="1" t="inlineStr">
        <is>
          <t>Valor da Retenção</t>
        </is>
      </c>
      <c r="U1" s="1" t="inlineStr">
        <is>
          <t>Valor Líquido da Medição</t>
        </is>
      </c>
      <c r="V1" s="1" t="inlineStr">
        <is>
          <t>NF-e</t>
        </is>
      </c>
      <c r="W1" s="1" t="inlineStr">
        <is>
          <t>Status</t>
        </is>
      </c>
      <c r="X1" s="1" t="inlineStr">
        <is>
          <t>Observações</t>
        </is>
      </c>
    </row>
    <row r="2">
      <c r="A2" s="2" t="n">
        <v>1</v>
      </c>
      <c r="B2" s="36" t="n">
        <v>46027</v>
      </c>
      <c r="C2" s="2" t="inlineStr">
        <is>
          <t>CT-2026-014</t>
        </is>
      </c>
      <c r="D2" s="4" t="inlineStr">
        <is>
          <t>Residencial Jardim das Acácias</t>
        </is>
      </c>
      <c r="E2" s="4" t="inlineStr">
        <is>
          <t>Construtora Horizonte Ltda.</t>
        </is>
      </c>
      <c r="F2" s="4" t="inlineStr">
        <is>
          <t>João Silva</t>
        </is>
      </c>
      <c r="G2" s="2" t="inlineStr">
        <is>
          <t>SRV-001</t>
        </is>
      </c>
      <c r="H2" s="5">
        <f>IFERROR(VLOOKUP(G2,Serviços!$A$2:$F$11,2,FALSE),"Código não encontrado")</f>
        <v/>
      </c>
      <c r="I2" s="6">
        <f>IFERROR(VLOOKUP(G2,Serviços!$A$2:$F$11,3,FALSE),"")</f>
        <v/>
      </c>
      <c r="J2" s="7">
        <f>IFERROR(VLOOKUP(G2,Serviços!$A$2:$F$11,4,FALSE),0)</f>
        <v/>
      </c>
      <c r="K2" s="37">
        <f>IFERROR(VLOOKUP(G2,Serviços!$A$2:$F$11,5,FALSE),0)</f>
        <v/>
      </c>
      <c r="L2" s="37">
        <f>J2*K2</f>
        <v/>
      </c>
      <c r="M2" s="9" t="n">
        <v>0</v>
      </c>
      <c r="N2" s="9" t="n">
        <v>800</v>
      </c>
      <c r="O2" s="7">
        <f>M2+N2</f>
        <v/>
      </c>
      <c r="P2" s="10">
        <f>IFERROR(O2/J2,0)</f>
        <v/>
      </c>
      <c r="Q2" s="37">
        <f>N2*K2</f>
        <v/>
      </c>
      <c r="R2" s="37">
        <f>O2*K2</f>
        <v/>
      </c>
      <c r="S2" s="11" t="n">
        <v>0.05</v>
      </c>
      <c r="T2" s="37">
        <f>Q2*S2</f>
        <v/>
      </c>
      <c r="U2" s="37">
        <f>Q2-T2</f>
        <v/>
      </c>
      <c r="V2" s="2" t="inlineStr">
        <is>
          <t>NF-e 10231</t>
        </is>
      </c>
      <c r="W2" s="6">
        <f>IF(P2&gt;=1,"Concluído",IF(P2&gt;0,"Em andamento","Não iniciado"))</f>
        <v/>
      </c>
      <c r="X2" s="4" t="inlineStr">
        <is>
          <t>Escavação de valas e sapatas</t>
        </is>
      </c>
    </row>
    <row r="3">
      <c r="A3" s="2" t="n">
        <v>2</v>
      </c>
      <c r="B3" s="36" t="n">
        <v>46042</v>
      </c>
      <c r="C3" s="2" t="inlineStr">
        <is>
          <t>CT-2026-014</t>
        </is>
      </c>
      <c r="D3" s="4" t="inlineStr">
        <is>
          <t>Residencial Jardim das Acácias</t>
        </is>
      </c>
      <c r="E3" s="4" t="inlineStr">
        <is>
          <t>Construtora Horizonte Ltda.</t>
        </is>
      </c>
      <c r="F3" s="4" t="inlineStr">
        <is>
          <t>Maria Oliveira</t>
        </is>
      </c>
      <c r="G3" s="2" t="inlineStr">
        <is>
          <t>SRV-002</t>
        </is>
      </c>
      <c r="H3" s="12">
        <f>IFERROR(VLOOKUP(G3,Serviços!$A$2:$F$11,2,FALSE),"Código não encontrado")</f>
        <v/>
      </c>
      <c r="I3" s="13">
        <f>IFERROR(VLOOKUP(G3,Serviços!$A$2:$F$11,3,FALSE),"")</f>
        <v/>
      </c>
      <c r="J3" s="14">
        <f>IFERROR(VLOOKUP(G3,Serviços!$A$2:$F$11,4,FALSE),0)</f>
        <v/>
      </c>
      <c r="K3" s="38">
        <f>IFERROR(VLOOKUP(G3,Serviços!$A$2:$F$11,5,FALSE),0)</f>
        <v/>
      </c>
      <c r="L3" s="38">
        <f>J3*K3</f>
        <v/>
      </c>
      <c r="M3" s="9" t="n">
        <v>0</v>
      </c>
      <c r="N3" s="9" t="n">
        <v>220</v>
      </c>
      <c r="O3" s="14">
        <f>M3+N3</f>
        <v/>
      </c>
      <c r="P3" s="16">
        <f>IFERROR(O3/J3,0)</f>
        <v/>
      </c>
      <c r="Q3" s="38">
        <f>N3*K3</f>
        <v/>
      </c>
      <c r="R3" s="38">
        <f>O3*K3</f>
        <v/>
      </c>
      <c r="S3" s="11" t="n">
        <v>0.05</v>
      </c>
      <c r="T3" s="38">
        <f>Q3*S3</f>
        <v/>
      </c>
      <c r="U3" s="38">
        <f>Q3-T3</f>
        <v/>
      </c>
      <c r="V3" s="2" t="inlineStr">
        <is>
          <t>NF-e 10258</t>
        </is>
      </c>
      <c r="W3" s="13">
        <f>IF(P3&gt;=1,"Concluído",IF(P3&gt;0,"Em andamento","Não iniciado"))</f>
        <v/>
      </c>
      <c r="X3" s="4" t="inlineStr">
        <is>
          <t>Concreto das fundações</t>
        </is>
      </c>
    </row>
    <row r="4">
      <c r="A4" s="2" t="n">
        <v>3</v>
      </c>
      <c r="B4" s="36" t="n">
        <v>46058</v>
      </c>
      <c r="C4" s="2" t="inlineStr">
        <is>
          <t>CT-2026-014</t>
        </is>
      </c>
      <c r="D4" s="4" t="inlineStr">
        <is>
          <t>Residencial Jardim das Acácias</t>
        </is>
      </c>
      <c r="E4" s="4" t="inlineStr">
        <is>
          <t>Construtora Horizonte Ltda.</t>
        </is>
      </c>
      <c r="F4" s="4" t="inlineStr">
        <is>
          <t>Pedro Santos</t>
        </is>
      </c>
      <c r="G4" s="2" t="inlineStr">
        <is>
          <t>SRV-003</t>
        </is>
      </c>
      <c r="H4" s="5">
        <f>IFERROR(VLOOKUP(G4,Serviços!$A$2:$F$11,2,FALSE),"Código não encontrado")</f>
        <v/>
      </c>
      <c r="I4" s="6">
        <f>IFERROR(VLOOKUP(G4,Serviços!$A$2:$F$11,3,FALSE),"")</f>
        <v/>
      </c>
      <c r="J4" s="7">
        <f>IFERROR(VLOOKUP(G4,Serviços!$A$2:$F$11,4,FALSE),0)</f>
        <v/>
      </c>
      <c r="K4" s="37">
        <f>IFERROR(VLOOKUP(G4,Serviços!$A$2:$F$11,5,FALSE),0)</f>
        <v/>
      </c>
      <c r="L4" s="37">
        <f>J4*K4</f>
        <v/>
      </c>
      <c r="M4" s="9" t="n">
        <v>0</v>
      </c>
      <c r="N4" s="9" t="n">
        <v>9500</v>
      </c>
      <c r="O4" s="7">
        <f>M4+N4</f>
        <v/>
      </c>
      <c r="P4" s="10">
        <f>IFERROR(O4/J4,0)</f>
        <v/>
      </c>
      <c r="Q4" s="37">
        <f>N4*K4</f>
        <v/>
      </c>
      <c r="R4" s="37">
        <f>O4*K4</f>
        <v/>
      </c>
      <c r="S4" s="11" t="n">
        <v>0.05</v>
      </c>
      <c r="T4" s="37">
        <f>Q4*S4</f>
        <v/>
      </c>
      <c r="U4" s="37">
        <f>Q4-T4</f>
        <v/>
      </c>
      <c r="V4" s="2" t="inlineStr">
        <is>
          <t>NF-e 10290</t>
        </is>
      </c>
      <c r="W4" s="6">
        <f>IF(P4&gt;=1,"Concluído",IF(P4&gt;0,"Em andamento","Não iniciado"))</f>
        <v/>
      </c>
      <c r="X4" s="4" t="inlineStr">
        <is>
          <t>Armação blocos e pilares</t>
        </is>
      </c>
    </row>
    <row r="5">
      <c r="A5" s="2" t="n">
        <v>4</v>
      </c>
      <c r="B5" s="36" t="n">
        <v>46073</v>
      </c>
      <c r="C5" s="2" t="inlineStr">
        <is>
          <t>CT-2026-014</t>
        </is>
      </c>
      <c r="D5" s="4" t="inlineStr">
        <is>
          <t>Residencial Jardim das Acácias</t>
        </is>
      </c>
      <c r="E5" s="4" t="inlineStr">
        <is>
          <t>Construtora Horizonte Ltda.</t>
        </is>
      </c>
      <c r="F5" s="4" t="inlineStr">
        <is>
          <t>Ana Souza</t>
        </is>
      </c>
      <c r="G5" s="2" t="inlineStr">
        <is>
          <t>SRV-004</t>
        </is>
      </c>
      <c r="H5" s="12">
        <f>IFERROR(VLOOKUP(G5,Serviços!$A$2:$F$11,2,FALSE),"Código não encontrado")</f>
        <v/>
      </c>
      <c r="I5" s="13">
        <f>IFERROR(VLOOKUP(G5,Serviços!$A$2:$F$11,3,FALSE),"")</f>
        <v/>
      </c>
      <c r="J5" s="14">
        <f>IFERROR(VLOOKUP(G5,Serviços!$A$2:$F$11,4,FALSE),0)</f>
        <v/>
      </c>
      <c r="K5" s="38">
        <f>IFERROR(VLOOKUP(G5,Serviços!$A$2:$F$11,5,FALSE),0)</f>
        <v/>
      </c>
      <c r="L5" s="38">
        <f>J5*K5</f>
        <v/>
      </c>
      <c r="M5" s="9" t="n">
        <v>0</v>
      </c>
      <c r="N5" s="9" t="n">
        <v>1500</v>
      </c>
      <c r="O5" s="14">
        <f>M5+N5</f>
        <v/>
      </c>
      <c r="P5" s="16">
        <f>IFERROR(O5/J5,0)</f>
        <v/>
      </c>
      <c r="Q5" s="38">
        <f>N5*K5</f>
        <v/>
      </c>
      <c r="R5" s="38">
        <f>O5*K5</f>
        <v/>
      </c>
      <c r="S5" s="11" t="n">
        <v>0.05</v>
      </c>
      <c r="T5" s="38">
        <f>Q5*S5</f>
        <v/>
      </c>
      <c r="U5" s="38">
        <f>Q5-T5</f>
        <v/>
      </c>
      <c r="V5" s="2" t="inlineStr">
        <is>
          <t>NF-e 10312</t>
        </is>
      </c>
      <c r="W5" s="13">
        <f>IF(P5&gt;=1,"Concluído",IF(P5&gt;0,"Em andamento","Não iniciado"))</f>
        <v/>
      </c>
      <c r="X5" s="4" t="inlineStr">
        <is>
          <t>Alvenaria térreo</t>
        </is>
      </c>
    </row>
    <row r="6">
      <c r="A6" s="2" t="n">
        <v>5</v>
      </c>
      <c r="B6" s="36" t="n">
        <v>46091</v>
      </c>
      <c r="C6" s="2" t="inlineStr">
        <is>
          <t>CT-2026-014</t>
        </is>
      </c>
      <c r="D6" s="4" t="inlineStr">
        <is>
          <t>Residencial Jardim das Acácias</t>
        </is>
      </c>
      <c r="E6" s="4" t="inlineStr">
        <is>
          <t>Construtora Horizonte Ltda.</t>
        </is>
      </c>
      <c r="F6" s="4" t="inlineStr">
        <is>
          <t>Carlos Pereira</t>
        </is>
      </c>
      <c r="G6" s="2" t="inlineStr">
        <is>
          <t>SRV-002</t>
        </is>
      </c>
      <c r="H6" s="5">
        <f>IFERROR(VLOOKUP(G6,Serviços!$A$2:$F$11,2,FALSE),"Código não encontrado")</f>
        <v/>
      </c>
      <c r="I6" s="6">
        <f>IFERROR(VLOOKUP(G6,Serviços!$A$2:$F$11,3,FALSE),"")</f>
        <v/>
      </c>
      <c r="J6" s="7">
        <f>IFERROR(VLOOKUP(G6,Serviços!$A$2:$F$11,4,FALSE),0)</f>
        <v/>
      </c>
      <c r="K6" s="37">
        <f>IFERROR(VLOOKUP(G6,Serviços!$A$2:$F$11,5,FALSE),0)</f>
        <v/>
      </c>
      <c r="L6" s="37">
        <f>J6*K6</f>
        <v/>
      </c>
      <c r="M6" s="9" t="n">
        <v>220</v>
      </c>
      <c r="N6" s="9" t="n">
        <v>180</v>
      </c>
      <c r="O6" s="7">
        <f>M6+N6</f>
        <v/>
      </c>
      <c r="P6" s="10">
        <f>IFERROR(O6/J6,0)</f>
        <v/>
      </c>
      <c r="Q6" s="37">
        <f>N6*K6</f>
        <v/>
      </c>
      <c r="R6" s="37">
        <f>O6*K6</f>
        <v/>
      </c>
      <c r="S6" s="11" t="n">
        <v>0.05</v>
      </c>
      <c r="T6" s="37">
        <f>Q6*S6</f>
        <v/>
      </c>
      <c r="U6" s="37">
        <f>Q6-T6</f>
        <v/>
      </c>
      <c r="V6" s="2" t="inlineStr">
        <is>
          <t>NF-e 10345</t>
        </is>
      </c>
      <c r="W6" s="6">
        <f>IF(P6&gt;=1,"Concluído",IF(P6&gt;0,"Em andamento","Não iniciado"))</f>
        <v/>
      </c>
      <c r="X6" s="4" t="inlineStr">
        <is>
          <t>Concreto lajes 1º pavimento</t>
        </is>
      </c>
    </row>
    <row r="7">
      <c r="A7" s="2" t="n">
        <v>6</v>
      </c>
      <c r="B7" s="36" t="n">
        <v>46106</v>
      </c>
      <c r="C7" s="2" t="inlineStr">
        <is>
          <t>CT-2026-014</t>
        </is>
      </c>
      <c r="D7" s="4" t="inlineStr">
        <is>
          <t>Residencial Jardim das Acácias</t>
        </is>
      </c>
      <c r="E7" s="4" t="inlineStr">
        <is>
          <t>Construtora Horizonte Ltda.</t>
        </is>
      </c>
      <c r="F7" s="4" t="inlineStr">
        <is>
          <t>Juliana Costa</t>
        </is>
      </c>
      <c r="G7" s="2" t="inlineStr">
        <is>
          <t>SRV-005</t>
        </is>
      </c>
      <c r="H7" s="12">
        <f>IFERROR(VLOOKUP(G7,Serviços!$A$2:$F$11,2,FALSE),"Código não encontrado")</f>
        <v/>
      </c>
      <c r="I7" s="13">
        <f>IFERROR(VLOOKUP(G7,Serviços!$A$2:$F$11,3,FALSE),"")</f>
        <v/>
      </c>
      <c r="J7" s="14">
        <f>IFERROR(VLOOKUP(G7,Serviços!$A$2:$F$11,4,FALSE),0)</f>
        <v/>
      </c>
      <c r="K7" s="38">
        <f>IFERROR(VLOOKUP(G7,Serviços!$A$2:$F$11,5,FALSE),0)</f>
        <v/>
      </c>
      <c r="L7" s="38">
        <f>J7*K7</f>
        <v/>
      </c>
      <c r="M7" s="9" t="n">
        <v>0</v>
      </c>
      <c r="N7" s="9" t="n">
        <v>1200</v>
      </c>
      <c r="O7" s="14">
        <f>M7+N7</f>
        <v/>
      </c>
      <c r="P7" s="16">
        <f>IFERROR(O7/J7,0)</f>
        <v/>
      </c>
      <c r="Q7" s="38">
        <f>N7*K7</f>
        <v/>
      </c>
      <c r="R7" s="38">
        <f>O7*K7</f>
        <v/>
      </c>
      <c r="S7" s="11" t="n">
        <v>0.05</v>
      </c>
      <c r="T7" s="38">
        <f>Q7*S7</f>
        <v/>
      </c>
      <c r="U7" s="38">
        <f>Q7-T7</f>
        <v/>
      </c>
      <c r="V7" s="2" t="inlineStr">
        <is>
          <t>NF-e 10371</t>
        </is>
      </c>
      <c r="W7" s="13">
        <f>IF(P7&gt;=1,"Concluído",IF(P7&gt;0,"Em andamento","Não iniciado"))</f>
        <v/>
      </c>
      <c r="X7" s="4" t="inlineStr">
        <is>
          <t>Reboco fachada norte</t>
        </is>
      </c>
    </row>
    <row r="8">
      <c r="A8" s="2" t="n">
        <v>7</v>
      </c>
      <c r="B8" s="36" t="n">
        <v>46120</v>
      </c>
      <c r="C8" s="2" t="inlineStr">
        <is>
          <t>CT-2026-014</t>
        </is>
      </c>
      <c r="D8" s="4" t="inlineStr">
        <is>
          <t>Residencial Jardim das Acácias</t>
        </is>
      </c>
      <c r="E8" s="4" t="inlineStr">
        <is>
          <t>Construtora Horizonte Ltda.</t>
        </is>
      </c>
      <c r="F8" s="4" t="inlineStr">
        <is>
          <t>Rafael Almeida</t>
        </is>
      </c>
      <c r="G8" s="2" t="inlineStr">
        <is>
          <t>SRV-006</t>
        </is>
      </c>
      <c r="H8" s="5">
        <f>IFERROR(VLOOKUP(G8,Serviços!$A$2:$F$11,2,FALSE),"Código não encontrado")</f>
        <v/>
      </c>
      <c r="I8" s="6">
        <f>IFERROR(VLOOKUP(G8,Serviços!$A$2:$F$11,3,FALSE),"")</f>
        <v/>
      </c>
      <c r="J8" s="7">
        <f>IFERROR(VLOOKUP(G8,Serviços!$A$2:$F$11,4,FALSE),0)</f>
        <v/>
      </c>
      <c r="K8" s="37">
        <f>IFERROR(VLOOKUP(G8,Serviços!$A$2:$F$11,5,FALSE),0)</f>
        <v/>
      </c>
      <c r="L8" s="37">
        <f>J8*K8</f>
        <v/>
      </c>
      <c r="M8" s="9" t="n">
        <v>0</v>
      </c>
      <c r="N8" s="9" t="n">
        <v>2500</v>
      </c>
      <c r="O8" s="7">
        <f>M8+N8</f>
        <v/>
      </c>
      <c r="P8" s="10">
        <f>IFERROR(O8/J8,0)</f>
        <v/>
      </c>
      <c r="Q8" s="37">
        <f>N8*K8</f>
        <v/>
      </c>
      <c r="R8" s="37">
        <f>O8*K8</f>
        <v/>
      </c>
      <c r="S8" s="11" t="n">
        <v>0.05</v>
      </c>
      <c r="T8" s="37">
        <f>Q8*S8</f>
        <v/>
      </c>
      <c r="U8" s="37">
        <f>Q8-T8</f>
        <v/>
      </c>
      <c r="V8" s="2" t="inlineStr">
        <is>
          <t>NF-e 10398</t>
        </is>
      </c>
      <c r="W8" s="6">
        <f>IF(P8&gt;=1,"Concluído",IF(P8&gt;0,"Em andamento","Não iniciado"))</f>
        <v/>
      </c>
      <c r="X8" s="4" t="inlineStr">
        <is>
          <t>Eletrodutos e caixas</t>
        </is>
      </c>
    </row>
    <row r="9">
      <c r="A9" s="2" t="n">
        <v>8</v>
      </c>
      <c r="B9" s="36" t="n">
        <v>46132</v>
      </c>
      <c r="C9" s="2" t="inlineStr">
        <is>
          <t>CT-2026-014</t>
        </is>
      </c>
      <c r="D9" s="4" t="inlineStr">
        <is>
          <t>Residencial Jardim das Acácias</t>
        </is>
      </c>
      <c r="E9" s="4" t="inlineStr">
        <is>
          <t>Construtora Horizonte Ltda.</t>
        </is>
      </c>
      <c r="F9" s="4" t="inlineStr">
        <is>
          <t>Camila Ferreira</t>
        </is>
      </c>
      <c r="G9" s="2" t="inlineStr">
        <is>
          <t>SRV-007</t>
        </is>
      </c>
      <c r="H9" s="12">
        <f>IFERROR(VLOOKUP(G9,Serviços!$A$2:$F$11,2,FALSE),"Código não encontrado")</f>
        <v/>
      </c>
      <c r="I9" s="13">
        <f>IFERROR(VLOOKUP(G9,Serviços!$A$2:$F$11,3,FALSE),"")</f>
        <v/>
      </c>
      <c r="J9" s="14">
        <f>IFERROR(VLOOKUP(G9,Serviços!$A$2:$F$11,4,FALSE),0)</f>
        <v/>
      </c>
      <c r="K9" s="38">
        <f>IFERROR(VLOOKUP(G9,Serviços!$A$2:$F$11,5,FALSE),0)</f>
        <v/>
      </c>
      <c r="L9" s="38">
        <f>J9*K9</f>
        <v/>
      </c>
      <c r="M9" s="9" t="n">
        <v>0</v>
      </c>
      <c r="N9" s="9" t="n">
        <v>900</v>
      </c>
      <c r="O9" s="14">
        <f>M9+N9</f>
        <v/>
      </c>
      <c r="P9" s="16">
        <f>IFERROR(O9/J9,0)</f>
        <v/>
      </c>
      <c r="Q9" s="38">
        <f>N9*K9</f>
        <v/>
      </c>
      <c r="R9" s="38">
        <f>O9*K9</f>
        <v/>
      </c>
      <c r="S9" s="11" t="n">
        <v>0.05</v>
      </c>
      <c r="T9" s="38">
        <f>Q9*S9</f>
        <v/>
      </c>
      <c r="U9" s="38">
        <f>Q9-T9</f>
        <v/>
      </c>
      <c r="V9" s="2" t="inlineStr">
        <is>
          <t>NF-e 10415</t>
        </is>
      </c>
      <c r="W9" s="13">
        <f>IF(P9&gt;=1,"Concluído",IF(P9&gt;0,"Em andamento","Não iniciado"))</f>
        <v/>
      </c>
      <c r="X9" s="4" t="inlineStr">
        <is>
          <t>Pintura interna bloco A</t>
        </is>
      </c>
    </row>
    <row r="10">
      <c r="A10" s="2" t="n">
        <v>9</v>
      </c>
      <c r="B10" s="36" t="n">
        <v>46142</v>
      </c>
      <c r="C10" s="2" t="inlineStr">
        <is>
          <t>CT-2026-014</t>
        </is>
      </c>
      <c r="D10" s="4" t="inlineStr">
        <is>
          <t>Residencial Jardim das Acácias</t>
        </is>
      </c>
      <c r="E10" s="4" t="inlineStr">
        <is>
          <t>Construtora Horizonte Ltda.</t>
        </is>
      </c>
      <c r="F10" s="4" t="inlineStr">
        <is>
          <t>Lucas Rodrigues</t>
        </is>
      </c>
      <c r="G10" s="2" t="inlineStr">
        <is>
          <t>SRV-008</t>
        </is>
      </c>
      <c r="H10" s="5">
        <f>IFERROR(VLOOKUP(G10,Serviços!$A$2:$F$11,2,FALSE),"Código não encontrado")</f>
        <v/>
      </c>
      <c r="I10" s="6">
        <f>IFERROR(VLOOKUP(G10,Serviços!$A$2:$F$11,3,FALSE),"")</f>
        <v/>
      </c>
      <c r="J10" s="7">
        <f>IFERROR(VLOOKUP(G10,Serviços!$A$2:$F$11,4,FALSE),0)</f>
        <v/>
      </c>
      <c r="K10" s="37">
        <f>IFERROR(VLOOKUP(G10,Serviços!$A$2:$F$11,5,FALSE),0)</f>
        <v/>
      </c>
      <c r="L10" s="37">
        <f>J10*K10</f>
        <v/>
      </c>
      <c r="M10" s="9" t="n">
        <v>0</v>
      </c>
      <c r="N10" s="9" t="n">
        <v>350</v>
      </c>
      <c r="O10" s="7">
        <f>M10+N10</f>
        <v/>
      </c>
      <c r="P10" s="10">
        <f>IFERROR(O10/J10,0)</f>
        <v/>
      </c>
      <c r="Q10" s="37">
        <f>N10*K10</f>
        <v/>
      </c>
      <c r="R10" s="37">
        <f>O10*K10</f>
        <v/>
      </c>
      <c r="S10" s="11" t="n">
        <v>0.05</v>
      </c>
      <c r="T10" s="37">
        <f>Q10*S10</f>
        <v/>
      </c>
      <c r="U10" s="37">
        <f>Q10-T10</f>
        <v/>
      </c>
      <c r="V10" s="2" t="inlineStr">
        <is>
          <t>NF-e 10432</t>
        </is>
      </c>
      <c r="W10" s="6">
        <f>IF(P10&gt;=1,"Concluído",IF(P10&gt;0,"Em andamento","Não iniciado"))</f>
        <v/>
      </c>
      <c r="X10" s="4" t="inlineStr">
        <is>
          <t>Pavimentação acesso principal</t>
        </is>
      </c>
    </row>
  </sheetData>
  <autoFilter ref="A1:X10"/>
  <conditionalFormatting sqref="P2:P10">
    <cfRule type="cellIs" priority="1" operator="greaterThan" dxfId="0">
      <formula>1</formula>
    </cfRule>
  </conditionalFormatting>
  <conditionalFormatting sqref="W2:W10">
    <cfRule type="expression" priority="2" dxfId="1">
      <formula>$W2="Concluído"</formula>
    </cfRule>
  </conditionalFormatting>
  <conditionalFormatting sqref="A2:X10">
    <cfRule type="expression" priority="3" stopIfTrue="0">
      <formula>AND($S2&gt;0,$T2&gt;0)</formula>
    </cfRule>
  </conditionalFormatting>
  <conditionalFormatting sqref="T2:T10">
    <cfRule type="cellIs" priority="4" operator="greaterThan" dxfId="2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4" customWidth="1" min="2" max="2"/>
    <col width="9" customWidth="1" min="3" max="3"/>
    <col width="15" customWidth="1" min="4" max="4"/>
    <col width="14" customWidth="1" min="5" max="5"/>
    <col width="14" customWidth="1" min="6" max="6"/>
    <col width="13" customWidth="1" min="7" max="7"/>
  </cols>
  <sheetData>
    <row r="1">
      <c r="A1" s="1" t="inlineStr">
        <is>
          <t>Código</t>
        </is>
      </c>
      <c r="B1" s="1" t="inlineStr">
        <is>
          <t>Descrição do Serviço</t>
        </is>
      </c>
      <c r="C1" s="1" t="inlineStr">
        <is>
          <t>Unidade</t>
        </is>
      </c>
      <c r="D1" s="1" t="inlineStr">
        <is>
          <t>Qtd. Contratada</t>
        </is>
      </c>
      <c r="E1" s="1" t="inlineStr">
        <is>
          <t>Preço Unitário</t>
        </is>
      </c>
      <c r="F1" s="1" t="inlineStr">
        <is>
          <t>Valor Total</t>
        </is>
      </c>
      <c r="G1" s="1" t="inlineStr">
        <is>
          <t>Grupo/Etapa</t>
        </is>
      </c>
    </row>
    <row r="2">
      <c r="A2" s="17" t="inlineStr">
        <is>
          <t>SRV-001</t>
        </is>
      </c>
      <c r="B2" s="18" t="inlineStr">
        <is>
          <t>Escavação manual de valas e sapatas</t>
        </is>
      </c>
      <c r="C2" s="17" t="inlineStr">
        <is>
          <t>m³</t>
        </is>
      </c>
      <c r="D2" s="19" t="n">
        <v>3200</v>
      </c>
      <c r="E2" s="39" t="n">
        <v>85</v>
      </c>
      <c r="F2" s="37">
        <f>D2*E2</f>
        <v/>
      </c>
      <c r="G2" s="17" t="inlineStr">
        <is>
          <t>Fundação</t>
        </is>
      </c>
    </row>
    <row r="3">
      <c r="A3" s="2" t="inlineStr">
        <is>
          <t>SRV-002</t>
        </is>
      </c>
      <c r="B3" s="4" t="inlineStr">
        <is>
          <t>Concreto estrutural usinado FCK 25 MPa</t>
        </is>
      </c>
      <c r="C3" s="2" t="inlineStr">
        <is>
          <t>m³</t>
        </is>
      </c>
      <c r="D3" s="9" t="n">
        <v>620</v>
      </c>
      <c r="E3" s="40" t="n">
        <v>780</v>
      </c>
      <c r="F3" s="38">
        <f>D3*E3</f>
        <v/>
      </c>
      <c r="G3" s="2" t="inlineStr">
        <is>
          <t>Estrutura</t>
        </is>
      </c>
    </row>
    <row r="4">
      <c r="A4" s="17" t="inlineStr">
        <is>
          <t>SRV-003</t>
        </is>
      </c>
      <c r="B4" s="18" t="inlineStr">
        <is>
          <t>Armação de aço CA-50</t>
        </is>
      </c>
      <c r="C4" s="17" t="inlineStr">
        <is>
          <t>kg</t>
        </is>
      </c>
      <c r="D4" s="19" t="n">
        <v>38000</v>
      </c>
      <c r="E4" s="39" t="n">
        <v>12.5</v>
      </c>
      <c r="F4" s="37">
        <f>D4*E4</f>
        <v/>
      </c>
      <c r="G4" s="17" t="inlineStr">
        <is>
          <t>Estrutura</t>
        </is>
      </c>
    </row>
    <row r="5">
      <c r="A5" s="2" t="inlineStr">
        <is>
          <t>SRV-004</t>
        </is>
      </c>
      <c r="B5" s="4" t="inlineStr">
        <is>
          <t>Alvenaria de vedação bloco cerâmico 14 cm</t>
        </is>
      </c>
      <c r="C5" s="2" t="inlineStr">
        <is>
          <t>m²</t>
        </is>
      </c>
      <c r="D5" s="9" t="n">
        <v>5400</v>
      </c>
      <c r="E5" s="40" t="n">
        <v>95</v>
      </c>
      <c r="F5" s="38">
        <f>D5*E5</f>
        <v/>
      </c>
      <c r="G5" s="2" t="inlineStr">
        <is>
          <t>Vedação</t>
        </is>
      </c>
    </row>
    <row r="6">
      <c r="A6" s="17" t="inlineStr">
        <is>
          <t>SRV-005</t>
        </is>
      </c>
      <c r="B6" s="18" t="inlineStr">
        <is>
          <t>Revestimento externo em reboco</t>
        </is>
      </c>
      <c r="C6" s="17" t="inlineStr">
        <is>
          <t>m²</t>
        </is>
      </c>
      <c r="D6" s="19" t="n">
        <v>4800</v>
      </c>
      <c r="E6" s="39" t="n">
        <v>62</v>
      </c>
      <c r="F6" s="37">
        <f>D6*E6</f>
        <v/>
      </c>
      <c r="G6" s="17" t="inlineStr">
        <is>
          <t>Acabamento</t>
        </is>
      </c>
    </row>
    <row r="7">
      <c r="A7" s="2" t="inlineStr">
        <is>
          <t>SRV-006</t>
        </is>
      </c>
      <c r="B7" s="4" t="inlineStr">
        <is>
          <t>Instalação elétrica — pontos completos</t>
        </is>
      </c>
      <c r="C7" s="2" t="inlineStr">
        <is>
          <t>un</t>
        </is>
      </c>
      <c r="D7" s="9" t="n">
        <v>860</v>
      </c>
      <c r="E7" s="40" t="n">
        <v>145</v>
      </c>
      <c r="F7" s="38">
        <f>D7*E7</f>
        <v/>
      </c>
      <c r="G7" s="2" t="inlineStr">
        <is>
          <t>Instalações</t>
        </is>
      </c>
    </row>
    <row r="8">
      <c r="A8" s="17" t="inlineStr">
        <is>
          <t>SRV-007</t>
        </is>
      </c>
      <c r="B8" s="18" t="inlineStr">
        <is>
          <t>Pintura látex PVA 2 demãos</t>
        </is>
      </c>
      <c r="C8" s="17" t="inlineStr">
        <is>
          <t>m²</t>
        </is>
      </c>
      <c r="D8" s="19" t="n">
        <v>6800</v>
      </c>
      <c r="E8" s="39" t="n">
        <v>28</v>
      </c>
      <c r="F8" s="37">
        <f>D8*E8</f>
        <v/>
      </c>
      <c r="G8" s="17" t="inlineStr">
        <is>
          <t>Acabamento</t>
        </is>
      </c>
    </row>
    <row r="9">
      <c r="A9" s="2" t="inlineStr">
        <is>
          <t>SRV-008</t>
        </is>
      </c>
      <c r="B9" s="4" t="inlineStr">
        <is>
          <t>Pavimentação em concreto intertravado</t>
        </is>
      </c>
      <c r="C9" s="2" t="inlineStr">
        <is>
          <t>m²</t>
        </is>
      </c>
      <c r="D9" s="9" t="n">
        <v>900</v>
      </c>
      <c r="E9" s="40" t="n">
        <v>110</v>
      </c>
      <c r="F9" s="38">
        <f>D9*E9</f>
        <v/>
      </c>
      <c r="G9" s="2" t="inlineStr">
        <is>
          <t>Externas</t>
        </is>
      </c>
    </row>
    <row r="10">
      <c r="A10" s="17" t="inlineStr">
        <is>
          <t>SRV-009</t>
        </is>
      </c>
      <c r="B10" s="18" t="inlineStr">
        <is>
          <t>Impermeabilização de lajes e reservatórios</t>
        </is>
      </c>
      <c r="C10" s="17" t="inlineStr">
        <is>
          <t>m²</t>
        </is>
      </c>
      <c r="D10" s="19" t="n">
        <v>1250</v>
      </c>
      <c r="E10" s="39" t="n">
        <v>95</v>
      </c>
      <c r="F10" s="37">
        <f>D10*E10</f>
        <v/>
      </c>
      <c r="G10" s="17" t="inlineStr">
        <is>
          <t>Instalações</t>
        </is>
      </c>
    </row>
    <row r="11">
      <c r="A11" s="2" t="inlineStr">
        <is>
          <t>SRV-010</t>
        </is>
      </c>
      <c r="B11" s="4" t="inlineStr">
        <is>
          <t>Esquadrias de alumínio — fornecimento e instalação</t>
        </is>
      </c>
      <c r="C11" s="2" t="inlineStr">
        <is>
          <t>un</t>
        </is>
      </c>
      <c r="D11" s="9" t="n">
        <v>210</v>
      </c>
      <c r="E11" s="40" t="n">
        <v>850</v>
      </c>
      <c r="F11" s="38">
        <f>D11*E11</f>
        <v/>
      </c>
      <c r="G11" s="2" t="inlineStr">
        <is>
          <t>Vedação</t>
        </is>
      </c>
    </row>
  </sheetData>
  <autoFilter ref="A1:G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4" customWidth="1" min="4" max="4"/>
    <col width="18" customWidth="1" min="5" max="5"/>
    <col width="20" customWidth="1" min="6" max="6"/>
    <col width="24" customWidth="1" min="7" max="7"/>
  </cols>
  <sheetData>
    <row r="1">
      <c r="A1" s="22" t="inlineStr">
        <is>
          <t>Painel Executivo — Medição de Obra | Residencial Jardim das Acácias</t>
        </is>
      </c>
    </row>
    <row r="2"/>
    <row r="3">
      <c r="A3" s="23" t="inlineStr">
        <is>
          <t>Valor Total Contratado</t>
        </is>
      </c>
      <c r="B3" s="41">
        <f>SUM(Medições!L2:L10)</f>
        <v/>
      </c>
    </row>
    <row r="4">
      <c r="A4" s="23" t="inlineStr">
        <is>
          <t>Valor Medido Acumulado</t>
        </is>
      </c>
      <c r="B4" s="41">
        <f>SUM(Medições!R2:R10)</f>
        <v/>
      </c>
    </row>
    <row r="5">
      <c r="A5" s="23" t="inlineStr">
        <is>
          <t>Valor Líquido a Faturar</t>
        </is>
      </c>
      <c r="B5" s="41">
        <f>SUM(Medições!U2:U10)</f>
        <v/>
      </c>
    </row>
    <row r="6">
      <c r="A6" s="23" t="inlineStr">
        <is>
          <t>% Financeiro Executado</t>
        </is>
      </c>
      <c r="B6" s="25">
        <f>IFERROR(B4/B3,0)</f>
        <v/>
      </c>
    </row>
    <row r="7">
      <c r="A7" s="23" t="inlineStr">
        <is>
          <t>Medições Lançadas</t>
        </is>
      </c>
      <c r="B7" s="26">
        <f>COUNTIF(Medições!A2:A10,"&gt;0")</f>
        <v/>
      </c>
    </row>
    <row r="8">
      <c r="A8" s="23" t="inlineStr">
        <is>
          <t>Valor Médio por Medição</t>
        </is>
      </c>
      <c r="B8" s="41">
        <f>AVERAGE(Medições!Q2:Q10)</f>
        <v/>
      </c>
    </row>
    <row r="9">
      <c r="A9" s="23" t="inlineStr">
        <is>
          <t>Medições Concluídas</t>
        </is>
      </c>
      <c r="B9" s="26">
        <f>COUNTIF(Medições!W2:W10,"Concluído")</f>
        <v/>
      </c>
    </row>
    <row r="10">
      <c r="A10" s="23" t="inlineStr">
        <is>
          <t>Situação Geral</t>
        </is>
      </c>
      <c r="B10" s="27">
        <f>IF(B6&gt;=1,"Obra concluída",IF(B6&gt;=0.8,"Fase final","Em execução"))</f>
        <v/>
      </c>
    </row>
    <row r="11"/>
    <row r="12">
      <c r="A12" s="28" t="inlineStr">
        <is>
          <t>Resumo por Status</t>
        </is>
      </c>
      <c r="E12" s="28" t="inlineStr">
        <is>
          <t>Resumo por Grupo/Etapa</t>
        </is>
      </c>
    </row>
    <row r="13">
      <c r="A13" s="29" t="inlineStr">
        <is>
          <t>Status</t>
        </is>
      </c>
      <c r="B13" s="29" t="inlineStr">
        <is>
          <t>Qtde.</t>
        </is>
      </c>
      <c r="C13" s="29" t="inlineStr">
        <is>
          <t>Valor Líquido (R$)</t>
        </is>
      </c>
      <c r="E13" s="29" t="inlineStr">
        <is>
          <t>Grupo/Etapa</t>
        </is>
      </c>
      <c r="F13" s="29" t="inlineStr">
        <is>
          <t>Contratado (R$)</t>
        </is>
      </c>
      <c r="G13" s="29" t="inlineStr">
        <is>
          <t>Medido Acumulado (R$)</t>
        </is>
      </c>
    </row>
    <row r="14">
      <c r="A14" s="30" t="inlineStr">
        <is>
          <t>Concluído</t>
        </is>
      </c>
      <c r="B14" s="30">
        <f>COUNTIF(Medições!W2:W10,"Concluído")</f>
        <v/>
      </c>
      <c r="C14" s="42">
        <f>SUMIF(Medições!W2:W10,"Concluído",Medições!U2:U10)</f>
        <v/>
      </c>
      <c r="E14" s="30" t="inlineStr">
        <is>
          <t>Fundação</t>
        </is>
      </c>
      <c r="F14" s="42">
        <f>SUMIF(Serviços!G2:G11,"Fundação",Serviços!F2:F11)</f>
        <v/>
      </c>
      <c r="G14" s="42">
        <f>SUMPRODUCT((IFERROR(VLOOKUP(Medições!G2:G10,Serviços!A2:G11,7,FALSE),"")="Fundação")*Medições!R2:R10)</f>
        <v/>
      </c>
    </row>
    <row r="15">
      <c r="A15" s="30" t="inlineStr">
        <is>
          <t>Em andamento</t>
        </is>
      </c>
      <c r="B15" s="30">
        <f>COUNTIF(Medições!W2:W10,"Em andamento")</f>
        <v/>
      </c>
      <c r="C15" s="42">
        <f>SUMIF(Medições!W2:W10,"Em andamento",Medições!U2:U10)</f>
        <v/>
      </c>
      <c r="E15" s="30" t="inlineStr">
        <is>
          <t>Estrutura</t>
        </is>
      </c>
      <c r="F15" s="42">
        <f>SUMIF(Serviços!G2:G11,"Estrutura",Serviços!F2:F11)</f>
        <v/>
      </c>
      <c r="G15" s="42">
        <f>SUMPRODUCT((IFERROR(VLOOKUP(Medições!G2:G10,Serviços!A2:G11,7,FALSE),"")="Estrutura")*Medições!R2:R10)</f>
        <v/>
      </c>
    </row>
    <row r="16">
      <c r="A16" s="30" t="inlineStr">
        <is>
          <t>Não iniciado</t>
        </is>
      </c>
      <c r="B16" s="30">
        <f>COUNTIF(Medições!W2:W10,"Não iniciado")</f>
        <v/>
      </c>
      <c r="C16" s="42">
        <f>SUMIF(Medições!W2:W10,"Não iniciado",Medições!U2:U10)</f>
        <v/>
      </c>
      <c r="E16" s="30" t="inlineStr">
        <is>
          <t>Vedação</t>
        </is>
      </c>
      <c r="F16" s="42">
        <f>SUMIF(Serviços!G2:G11,"Vedação",Serviços!F2:F11)</f>
        <v/>
      </c>
      <c r="G16" s="42">
        <f>SUMPRODUCT((IFERROR(VLOOKUP(Medições!G2:G10,Serviços!A2:G11,7,FALSE),"")="Vedação")*Medições!R2:R10)</f>
        <v/>
      </c>
    </row>
    <row r="17">
      <c r="E17" s="30" t="inlineStr">
        <is>
          <t>Acabamento</t>
        </is>
      </c>
      <c r="F17" s="42">
        <f>SUMIF(Serviços!G2:G11,"Acabamento",Serviços!F2:F11)</f>
        <v/>
      </c>
      <c r="G17" s="42">
        <f>SUMPRODUCT((IFERROR(VLOOKUP(Medições!G2:G10,Serviços!A2:G11,7,FALSE),"")="Acabamento")*Medições!R2:R10)</f>
        <v/>
      </c>
    </row>
    <row r="18">
      <c r="E18" s="30" t="inlineStr">
        <is>
          <t>Instalações</t>
        </is>
      </c>
      <c r="F18" s="42">
        <f>SUMIF(Serviços!G2:G11,"Instalações",Serviços!F2:F11)</f>
        <v/>
      </c>
      <c r="G18" s="42">
        <f>SUMPRODUCT((IFERROR(VLOOKUP(Medições!G2:G10,Serviços!A2:G11,7,FALSE),"")="Instalações")*Medições!R2:R10)</f>
        <v/>
      </c>
    </row>
    <row r="19">
      <c r="E19" s="30" t="inlineStr">
        <is>
          <t>Externas</t>
        </is>
      </c>
      <c r="F19" s="42">
        <f>SUMIF(Serviços!G2:G11,"Externas",Serviços!F2:F11)</f>
        <v/>
      </c>
      <c r="G19" s="42">
        <f>SUMPRODUCT((IFERROR(VLOOKUP(Medições!G2:G10,Serviços!A2:G11,7,FALSE),"")="Externas")*Medições!R2:R10)</f>
        <v/>
      </c>
    </row>
    <row r="20"/>
    <row r="21"/>
    <row r="22">
      <c r="A22" s="28" t="inlineStr">
        <is>
          <t>Evolução do Valor Medido por Data</t>
        </is>
      </c>
    </row>
    <row r="23">
      <c r="A23" s="29" t="inlineStr">
        <is>
          <t>Data</t>
        </is>
      </c>
      <c r="B23" s="29" t="inlineStr">
        <is>
          <t>Valor Medido no Período (R$)</t>
        </is>
      </c>
    </row>
    <row r="24">
      <c r="A24" s="43">
        <f>Medições!B2</f>
        <v/>
      </c>
      <c r="B24" s="42">
        <f>Medições!Q2</f>
        <v/>
      </c>
    </row>
    <row r="25">
      <c r="A25" s="43">
        <f>Medições!B3</f>
        <v/>
      </c>
      <c r="B25" s="42">
        <f>Medições!Q3</f>
        <v/>
      </c>
    </row>
    <row r="26">
      <c r="A26" s="43">
        <f>Medições!B4</f>
        <v/>
      </c>
      <c r="B26" s="42">
        <f>Medições!Q4</f>
        <v/>
      </c>
    </row>
    <row r="27">
      <c r="A27" s="43">
        <f>Medições!B5</f>
        <v/>
      </c>
      <c r="B27" s="42">
        <f>Medições!Q5</f>
        <v/>
      </c>
    </row>
    <row r="28">
      <c r="A28" s="43">
        <f>Medições!B6</f>
        <v/>
      </c>
      <c r="B28" s="42">
        <f>Medições!Q6</f>
        <v/>
      </c>
    </row>
    <row r="29">
      <c r="A29" s="43">
        <f>Medições!B7</f>
        <v/>
      </c>
      <c r="B29" s="42">
        <f>Medições!Q7</f>
        <v/>
      </c>
    </row>
    <row r="30">
      <c r="A30" s="43">
        <f>Medições!B8</f>
        <v/>
      </c>
      <c r="B30" s="42">
        <f>Medições!Q8</f>
        <v/>
      </c>
    </row>
    <row r="31">
      <c r="A31" s="43">
        <f>Medições!B9</f>
        <v/>
      </c>
      <c r="B31" s="42">
        <f>Medições!Q9</f>
        <v/>
      </c>
    </row>
    <row r="32">
      <c r="A32" s="43">
        <f>Medições!B10</f>
        <v/>
      </c>
      <c r="B32" s="42">
        <f>Medições!Q10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6" customWidth="1" min="1" max="1"/>
    <col width="110" customWidth="1" min="2" max="2"/>
  </cols>
  <sheetData>
    <row r="1">
      <c r="A1" s="33" t="inlineStr">
        <is>
          <t>Instruções de Uso — Medição de Obra</t>
        </is>
      </c>
    </row>
    <row r="2"/>
    <row r="3" ht="48" customHeight="1">
      <c r="A3" s="34" t="inlineStr">
        <is>
          <t>Células amarelas</t>
        </is>
      </c>
      <c r="B3" s="35" t="inlineStr">
        <is>
          <t>Preencha apenas as células com fundo amarelo-claro na planilha Medições: ID, data, contrato, obra, cliente, responsável, código do serviço, quantidades medidas, retenção, NF-e e observações. As demais colunas são calculadas automaticamente.</t>
        </is>
      </c>
    </row>
    <row r="4" ht="48" customHeight="1">
      <c r="A4" s="34" t="inlineStr">
        <is>
          <t>Cadastro de serviços</t>
        </is>
      </c>
      <c r="B4" s="35" t="inlineStr">
        <is>
          <t>Cadastre previamente todos os serviços na planilha Serviços, com código, descrição, unidade, quantidade contratada e preço unitário. A planilha Medições busca esses dados automaticamente pelo código (SRV-001 a SRV-010).</t>
        </is>
      </c>
    </row>
    <row r="5" ht="48" customHeight="1">
      <c r="A5" s="34" t="inlineStr">
        <is>
          <t>Unidades</t>
        </is>
      </c>
      <c r="B5" s="35" t="inlineStr">
        <is>
          <t>Utilize unidades padronizadas: m² (área), m³ (volume), m (comprimento), kg (peso) e un (unidade/pontos). Mantenha a mesma unidade entre orçamento e medição.</t>
        </is>
      </c>
    </row>
    <row r="6" ht="48" customHeight="1">
      <c r="A6" s="34" t="inlineStr">
        <is>
          <t>Conferência de acumulados</t>
        </is>
      </c>
      <c r="B6" s="35" t="inlineStr">
        <is>
          <t>Antes de emitir a NF-e, confira a quantidade acumulada e o percentual executado. Percentuais acima de 100% são destacados em vermelho e indicam divergência a ser justificada e aprovada.</t>
        </is>
      </c>
    </row>
    <row r="7" ht="48" customHeight="1">
      <c r="A7" s="34" t="inlineStr">
        <is>
          <t>Retenções e tributos</t>
        </is>
      </c>
      <c r="B7" s="35" t="inlineStr">
        <is>
          <t>Registre as retenções contratuais (padrão de 5% na amostra), ISS, INSS ou demais tributos quando aplicável, conforme o contrato e o regime tributário da empresa.</t>
        </is>
      </c>
    </row>
    <row r="8" ht="48" customHeight="1">
      <c r="A8" s="34" t="inlineStr">
        <is>
          <t>Validação documental</t>
        </is>
      </c>
      <c r="B8" s="35" t="inlineStr">
        <is>
          <t>Só fature após validar a documentação exigida no contrato: boletim de medição aprovado, relatórios fotográficos, ART/anotação técnica e comprovantes fiscais.</t>
        </is>
      </c>
    </row>
    <row r="9" ht="48" customHeight="1">
      <c r="A9" s="34" t="inlineStr">
        <is>
          <t>Painel Resumo</t>
        </is>
      </c>
      <c r="B9" s="35" t="inlineStr">
        <is>
          <t>A planilha Resumo consolida indicadores financeiros, resumo por status e por etapa, com gráficos de evolução e distribuição. Não edite as fórmulas do painel.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2026-07-30T13:33:05Z</dcterms:created>
  <dcterms:modified xmlns:dcterms="http://purl.org/dc/terms/" xmlns:xsi="http://www.w3.org/2001/XMLSchema-instance" xsi:type="dcterms:W3CDTF">2026-07-30T13:33:05Z</dcterms:modified>
</cp:coreProperties>
</file>