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se_Dividend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,0%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</font>
    <font>
      <b val="1"/>
      <color rgb="0016A34A"/>
    </font>
    <font>
      <b val="1"/>
      <color rgb="000F766E"/>
      <sz val="11"/>
    </font>
  </fonts>
  <fills count="8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4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2" fillId="7" borderId="1" pivotButton="0" quotePrefix="0" xfId="0"/>
    <xf numFmtId="0" fontId="3" fillId="7" borderId="1" pivotButton="0" quotePrefix="0" xfId="0"/>
    <xf numFmtId="165" fontId="3" fillId="7" borderId="1" pivotButton="0" quotePrefix="0" xfId="0"/>
    <xf numFmtId="0" fontId="2" fillId="7" borderId="0" pivotButton="0" quotePrefix="0" xfId="0"/>
    <xf numFmtId="0" fontId="3" fillId="4" borderId="1" pivotButton="0" quotePrefix="0" xfId="0"/>
    <xf numFmtId="165" fontId="4" fillId="4" borderId="1" pivotButton="0" quotePrefix="0" xfId="0"/>
    <xf numFmtId="0" fontId="3" fillId="6" borderId="1" pivotButton="0" quotePrefix="0" xfId="0"/>
    <xf numFmtId="165" fontId="4" fillId="6" borderId="1" pivotButton="0" quotePrefix="0" xfId="0"/>
    <xf numFmtId="1" fontId="4" fillId="6" borderId="1" pivotButton="0" quotePrefix="0" xfId="0"/>
    <xf numFmtId="0" fontId="3" fillId="0" borderId="1" pivotButton="0" quotePrefix="0" xfId="0"/>
    <xf numFmtId="0" fontId="4" fillId="0" borderId="1" pivotButton="0" quotePrefix="0" xfId="0"/>
    <xf numFmtId="165" fontId="0" fillId="4" borderId="1" applyAlignment="1" pivotButton="0" quotePrefix="0" xfId="0">
      <alignment horizontal="center" vertical="center" wrapText="1"/>
    </xf>
    <xf numFmtId="165" fontId="0" fillId="6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6" fontId="0" fillId="6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Proventos Líquidos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'Resumo'!$A$14:$A$20</f>
            </numRef>
          </cat>
          <val>
            <numRef>
              <f>'Resumo'!$B$14:$B$20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Mês/Ano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Líquido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por Tipo de Provento</a:t>
            </a:r>
          </a:p>
        </rich>
      </tx>
    </title>
    <plotArea>
      <pieChart>
        <varyColors val="1"/>
        <ser>
          <idx val="0"/>
          <order val="0"/>
          <tx>
            <strRef>
              <f>'Resumo'!B23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'Resumo'!$A$24:$A$26</f>
            </numRef>
          </cat>
          <val>
            <numRef>
              <f>'Resumo'!$B$24:$B$26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5 Ativos - Valor Líquido Recebido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'Resumo'!C53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'Resumo'!$B$54:$B$58</f>
            </numRef>
          </cat>
          <val>
            <numRef>
              <f>'Resumo'!$C$54:$C$58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Líquido (R$)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Ativo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35</row>
      <rowOff>0</rowOff>
    </from>
    <ext cx="540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0" customWidth="1" min="3" max="3"/>
    <col width="16" customWidth="1" min="4" max="4"/>
    <col width="26" customWidth="1" min="5" max="5"/>
    <col width="10" customWidth="1" min="6" max="6"/>
    <col width="22" customWidth="1" min="7" max="7"/>
    <col width="12" customWidth="1" min="8" max="8"/>
    <col width="16" customWidth="1" min="9" max="9"/>
    <col width="12" customWidth="1" min="10" max="10"/>
    <col width="14" customWidth="1" min="11" max="11"/>
    <col width="14" customWidth="1" min="12" max="12"/>
    <col width="18" customWidth="1" min="13" max="13"/>
    <col width="16" customWidth="1" min="14" max="14"/>
    <col width="32" customWidth="1" min="15" max="15"/>
    <col width="12" customWidth="1" min="16" max="16"/>
    <col width="14" customWidth="1" min="17" max="17"/>
    <col width="12" customWidth="1" min="18" max="18"/>
  </cols>
  <sheetData>
    <row r="1" ht="26" customHeight="1">
      <c r="A1" s="1" t="inlineStr">
        <is>
          <t>HISTÓRICO DE DIVIDENDOS, JCP E RENDIMENTOS DE FII - 2026</t>
        </is>
      </c>
    </row>
    <row r="2"/>
    <row r="3">
      <c r="A3" s="2" t="inlineStr">
        <is>
          <t>Data de Corte</t>
        </is>
      </c>
      <c r="B3" s="2" t="inlineStr">
        <is>
          <t>Data de Pagamento</t>
        </is>
      </c>
      <c r="C3" s="2" t="inlineStr">
        <is>
          <t>Ativo</t>
        </is>
      </c>
      <c r="D3" s="2" t="inlineStr">
        <is>
          <t>Tipo de Provento</t>
        </is>
      </c>
      <c r="E3" s="2" t="inlineStr">
        <is>
          <t>Empresa/FII</t>
        </is>
      </c>
      <c r="F3" s="2" t="inlineStr">
        <is>
          <t>Ticker</t>
        </is>
      </c>
      <c r="G3" s="2" t="inlineStr">
        <is>
          <t>Setor</t>
        </is>
      </c>
      <c r="H3" s="2" t="inlineStr">
        <is>
          <t>Qtde de Cotas/Ações</t>
        </is>
      </c>
      <c r="I3" s="2" t="inlineStr">
        <is>
          <t>Provento por Cota/Ação (R$)</t>
        </is>
      </c>
      <c r="J3" s="2" t="inlineStr">
        <is>
          <t>IR Retido (R$)</t>
        </is>
      </c>
      <c r="K3" s="2" t="inlineStr">
        <is>
          <t>Valor Bruto (R$)</t>
        </is>
      </c>
      <c r="L3" s="2" t="inlineStr">
        <is>
          <t>Valor Líquido (R$)</t>
        </is>
      </c>
      <c r="M3" s="2" t="inlineStr">
        <is>
          <t>B3/Corretora</t>
        </is>
      </c>
      <c r="N3" s="2" t="inlineStr">
        <is>
          <t>Status</t>
        </is>
      </c>
      <c r="O3" s="2" t="inlineStr">
        <is>
          <t>Observação</t>
        </is>
      </c>
      <c r="P3" s="2" t="inlineStr">
        <is>
          <t>IR Retido (%)</t>
        </is>
      </c>
      <c r="Q3" s="2" t="inlineStr">
        <is>
          <t>% do Total (Ativo)</t>
        </is>
      </c>
      <c r="R3" s="2" t="inlineStr">
        <is>
          <t>Mês/Ano</t>
        </is>
      </c>
    </row>
    <row r="4">
      <c r="A4" s="3" t="inlineStr">
        <is>
          <t>10/01/2026</t>
        </is>
      </c>
      <c r="B4" s="3" t="inlineStr">
        <is>
          <t>15/01/2026</t>
        </is>
      </c>
      <c r="C4" s="4" t="inlineStr">
        <is>
          <t>BBAS3</t>
        </is>
      </c>
      <c r="D4" s="4" t="inlineStr">
        <is>
          <t>Dividendo</t>
        </is>
      </c>
      <c r="E4" s="5" t="inlineStr">
        <is>
          <t>Banco do Brasil</t>
        </is>
      </c>
      <c r="F4" s="4" t="inlineStr">
        <is>
          <t>BBAS3</t>
        </is>
      </c>
      <c r="G4" s="4" t="inlineStr">
        <is>
          <t>Bancos</t>
        </is>
      </c>
      <c r="H4" s="4" t="n">
        <v>500</v>
      </c>
      <c r="I4" s="6" t="n">
        <v>0.45</v>
      </c>
      <c r="J4" s="6" t="n">
        <v>0</v>
      </c>
      <c r="K4" s="7">
        <f>H4*I4</f>
        <v/>
      </c>
      <c r="L4" s="7">
        <f>K4-J4</f>
        <v/>
      </c>
      <c r="M4" s="4" t="inlineStr">
        <is>
          <t>XP Investimentos</t>
        </is>
      </c>
      <c r="N4" s="8">
        <f>IF(B4&lt;=TODAY(),"Recebido","Previsto")</f>
        <v/>
      </c>
      <c r="O4" s="5" t="inlineStr">
        <is>
          <t>Recebido - Investidor São Paulo</t>
        </is>
      </c>
      <c r="P4" s="9">
        <f>IFERROR(J4/K4,0)</f>
        <v/>
      </c>
      <c r="Q4" s="9">
        <f>IFERROR(L4/SUM(L$4:L$13),0)</f>
        <v/>
      </c>
      <c r="R4" s="8">
        <f>TEXT(B4,"MM/AAAA")</f>
        <v/>
      </c>
    </row>
    <row r="5">
      <c r="A5" s="10" t="inlineStr">
        <is>
          <t>20/01/2026</t>
        </is>
      </c>
      <c r="B5" s="10" t="inlineStr">
        <is>
          <t>28/02/2026</t>
        </is>
      </c>
      <c r="C5" s="11" t="inlineStr">
        <is>
          <t>ITUB4</t>
        </is>
      </c>
      <c r="D5" s="11" t="inlineStr">
        <is>
          <t>JCP</t>
        </is>
      </c>
      <c r="E5" s="12" t="inlineStr">
        <is>
          <t>Itaú Unibanco</t>
        </is>
      </c>
      <c r="F5" s="11" t="inlineStr">
        <is>
          <t>ITUB4</t>
        </is>
      </c>
      <c r="G5" s="11" t="inlineStr">
        <is>
          <t>Bancos</t>
        </is>
      </c>
      <c r="H5" s="11" t="n">
        <v>300</v>
      </c>
      <c r="I5" s="6" t="n">
        <v>0.35</v>
      </c>
      <c r="J5" s="6" t="n">
        <v>15.75</v>
      </c>
      <c r="K5" s="7">
        <f>H5*I5</f>
        <v/>
      </c>
      <c r="L5" s="7">
        <f>K5-J5</f>
        <v/>
      </c>
      <c r="M5" s="11" t="inlineStr">
        <is>
          <t>Rico Investimentos</t>
        </is>
      </c>
      <c r="N5" s="8">
        <f>IF(B5&lt;=TODAY(),"Recebido","Previsto")</f>
        <v/>
      </c>
      <c r="O5" s="12" t="inlineStr">
        <is>
          <t>Recebido - Investidor Rio de Janeiro</t>
        </is>
      </c>
      <c r="P5" s="9">
        <f>IFERROR(J5/K5,0)</f>
        <v/>
      </c>
      <c r="Q5" s="9">
        <f>IFERROR(L5/SUM(L$4:L$13),0)</f>
        <v/>
      </c>
      <c r="R5" s="8">
        <f>TEXT(B5,"MM/AAAA")</f>
        <v/>
      </c>
    </row>
    <row r="6">
      <c r="A6" s="3" t="inlineStr">
        <is>
          <t>05/02/2026</t>
        </is>
      </c>
      <c r="B6" s="3" t="inlineStr">
        <is>
          <t>12/03/2026</t>
        </is>
      </c>
      <c r="C6" s="4" t="inlineStr">
        <is>
          <t>TAEE11</t>
        </is>
      </c>
      <c r="D6" s="4" t="inlineStr">
        <is>
          <t>JCP</t>
        </is>
      </c>
      <c r="E6" s="5" t="inlineStr">
        <is>
          <t>Taesa</t>
        </is>
      </c>
      <c r="F6" s="4" t="inlineStr">
        <is>
          <t>TAEE11</t>
        </is>
      </c>
      <c r="G6" s="4" t="inlineStr">
        <is>
          <t>Energia Elétrica</t>
        </is>
      </c>
      <c r="H6" s="4" t="n">
        <v>200</v>
      </c>
      <c r="I6" s="6" t="n">
        <v>0.55</v>
      </c>
      <c r="J6" s="6" t="n">
        <v>16.5</v>
      </c>
      <c r="K6" s="7">
        <f>H6*I6</f>
        <v/>
      </c>
      <c r="L6" s="7">
        <f>K6-J6</f>
        <v/>
      </c>
      <c r="M6" s="4" t="inlineStr">
        <is>
          <t>Clear Corretora</t>
        </is>
      </c>
      <c r="N6" s="8">
        <f>IF(B6&lt;=TODAY(),"Recebido","Previsto")</f>
        <v/>
      </c>
      <c r="O6" s="5" t="inlineStr">
        <is>
          <t>Recebido - Investidor Belo Horizonte</t>
        </is>
      </c>
      <c r="P6" s="9">
        <f>IFERROR(J6/K6,0)</f>
        <v/>
      </c>
      <c r="Q6" s="9">
        <f>IFERROR(L6/SUM(L$4:L$13),0)</f>
        <v/>
      </c>
      <c r="R6" s="8">
        <f>TEXT(B6,"MM/AAAA")</f>
        <v/>
      </c>
    </row>
    <row r="7">
      <c r="A7" s="10" t="inlineStr">
        <is>
          <t>15/02/2026</t>
        </is>
      </c>
      <c r="B7" s="10" t="inlineStr">
        <is>
          <t>20/03/2026</t>
        </is>
      </c>
      <c r="C7" s="11" t="inlineStr">
        <is>
          <t>WEGE3</t>
        </is>
      </c>
      <c r="D7" s="11" t="inlineStr">
        <is>
          <t>Dividendo</t>
        </is>
      </c>
      <c r="E7" s="12" t="inlineStr">
        <is>
          <t>WEG</t>
        </is>
      </c>
      <c r="F7" s="11" t="inlineStr">
        <is>
          <t>WEGE3</t>
        </is>
      </c>
      <c r="G7" s="11" t="inlineStr">
        <is>
          <t>Bens Industriais</t>
        </is>
      </c>
      <c r="H7" s="11" t="n">
        <v>150</v>
      </c>
      <c r="I7" s="6" t="n">
        <v>0.3</v>
      </c>
      <c r="J7" s="6" t="n">
        <v>0</v>
      </c>
      <c r="K7" s="7">
        <f>H7*I7</f>
        <v/>
      </c>
      <c r="L7" s="7">
        <f>K7-J7</f>
        <v/>
      </c>
      <c r="M7" s="11" t="inlineStr">
        <is>
          <t>XP Investimentos</t>
        </is>
      </c>
      <c r="N7" s="8">
        <f>IF(B7&lt;=TODAY(),"Recebido","Previsto")</f>
        <v/>
      </c>
      <c r="O7" s="12" t="inlineStr">
        <is>
          <t>Recebido - Investidor Curitiba</t>
        </is>
      </c>
      <c r="P7" s="9">
        <f>IFERROR(J7/K7,0)</f>
        <v/>
      </c>
      <c r="Q7" s="9">
        <f>IFERROR(L7/SUM(L$4:L$13),0)</f>
        <v/>
      </c>
      <c r="R7" s="8">
        <f>TEXT(B7,"MM/AAAA")</f>
        <v/>
      </c>
    </row>
    <row r="8">
      <c r="A8" s="3" t="inlineStr">
        <is>
          <t>01/03/2026</t>
        </is>
      </c>
      <c r="B8" s="3" t="inlineStr">
        <is>
          <t>10/04/2026</t>
        </is>
      </c>
      <c r="C8" s="4" t="inlineStr">
        <is>
          <t>VALE3</t>
        </is>
      </c>
      <c r="D8" s="4" t="inlineStr">
        <is>
          <t>JCP</t>
        </is>
      </c>
      <c r="E8" s="5" t="inlineStr">
        <is>
          <t>Vale</t>
        </is>
      </c>
      <c r="F8" s="4" t="inlineStr">
        <is>
          <t>VALE3</t>
        </is>
      </c>
      <c r="G8" s="4" t="inlineStr">
        <is>
          <t>Mineração</t>
        </is>
      </c>
      <c r="H8" s="4" t="n">
        <v>100</v>
      </c>
      <c r="I8" s="6" t="n">
        <v>1.2</v>
      </c>
      <c r="J8" s="6" t="n">
        <v>18</v>
      </c>
      <c r="K8" s="7">
        <f>H8*I8</f>
        <v/>
      </c>
      <c r="L8" s="7">
        <f>K8-J8</f>
        <v/>
      </c>
      <c r="M8" s="4" t="inlineStr">
        <is>
          <t>Rico Investimentos</t>
        </is>
      </c>
      <c r="N8" s="8">
        <f>IF(B8&lt;=TODAY(),"Recebido","Previsto")</f>
        <v/>
      </c>
      <c r="O8" s="5" t="inlineStr">
        <is>
          <t>Recebido - Investidor Porto Alegre</t>
        </is>
      </c>
      <c r="P8" s="9">
        <f>IFERROR(J8/K8,0)</f>
        <v/>
      </c>
      <c r="Q8" s="9">
        <f>IFERROR(L8/SUM(L$4:L$13),0)</f>
        <v/>
      </c>
      <c r="R8" s="8">
        <f>TEXT(B8,"MM/AAAA")</f>
        <v/>
      </c>
    </row>
    <row r="9">
      <c r="A9" s="10" t="inlineStr">
        <is>
          <t>15/03/2026</t>
        </is>
      </c>
      <c r="B9" s="10" t="inlineStr">
        <is>
          <t>25/04/2026</t>
        </is>
      </c>
      <c r="C9" s="11" t="inlineStr">
        <is>
          <t>EGIE3</t>
        </is>
      </c>
      <c r="D9" s="11" t="inlineStr">
        <is>
          <t>Dividendo</t>
        </is>
      </c>
      <c r="E9" s="12" t="inlineStr">
        <is>
          <t>Engie Brasil</t>
        </is>
      </c>
      <c r="F9" s="11" t="inlineStr">
        <is>
          <t>EGIE3</t>
        </is>
      </c>
      <c r="G9" s="11" t="inlineStr">
        <is>
          <t>Energia Elétrica</t>
        </is>
      </c>
      <c r="H9" s="11" t="n">
        <v>250</v>
      </c>
      <c r="I9" s="6" t="n">
        <v>0.4</v>
      </c>
      <c r="J9" s="6" t="n">
        <v>0</v>
      </c>
      <c r="K9" s="7">
        <f>H9*I9</f>
        <v/>
      </c>
      <c r="L9" s="7">
        <f>K9-J9</f>
        <v/>
      </c>
      <c r="M9" s="11" t="inlineStr">
        <is>
          <t>Clear Corretora</t>
        </is>
      </c>
      <c r="N9" s="8">
        <f>IF(B9&lt;=TODAY(),"Recebido","Previsto")</f>
        <v/>
      </c>
      <c r="O9" s="12" t="inlineStr">
        <is>
          <t>Recebido - Investidor São Paulo</t>
        </is>
      </c>
      <c r="P9" s="9">
        <f>IFERROR(J9/K9,0)</f>
        <v/>
      </c>
      <c r="Q9" s="9">
        <f>IFERROR(L9/SUM(L$4:L$13),0)</f>
        <v/>
      </c>
      <c r="R9" s="8">
        <f>TEXT(B9,"MM/AAAA")</f>
        <v/>
      </c>
    </row>
    <row r="10">
      <c r="A10" s="3" t="inlineStr">
        <is>
          <t>25/03/2026</t>
        </is>
      </c>
      <c r="B10" s="3" t="inlineStr">
        <is>
          <t>15/05/2026</t>
        </is>
      </c>
      <c r="C10" s="4" t="inlineStr">
        <is>
          <t>HGLG11</t>
        </is>
      </c>
      <c r="D10" s="4" t="inlineStr">
        <is>
          <t>Rendimento FII</t>
        </is>
      </c>
      <c r="E10" s="5" t="inlineStr">
        <is>
          <t>CSHG Logística FII</t>
        </is>
      </c>
      <c r="F10" s="4" t="inlineStr">
        <is>
          <t>HGLG11</t>
        </is>
      </c>
      <c r="G10" s="4" t="inlineStr">
        <is>
          <t>Fundos Imobiliários</t>
        </is>
      </c>
      <c r="H10" s="4" t="n">
        <v>400</v>
      </c>
      <c r="I10" s="6" t="n">
        <v>1.1</v>
      </c>
      <c r="J10" s="6" t="n">
        <v>0</v>
      </c>
      <c r="K10" s="7">
        <f>H10*I10</f>
        <v/>
      </c>
      <c r="L10" s="7">
        <f>K10-J10</f>
        <v/>
      </c>
      <c r="M10" s="4" t="inlineStr">
        <is>
          <t>XP Investimentos</t>
        </is>
      </c>
      <c r="N10" s="8">
        <f>IF(B10&lt;=TODAY(),"Recebido","Previsto")</f>
        <v/>
      </c>
      <c r="O10" s="5" t="inlineStr">
        <is>
          <t>Recebido - Investidor Rio de Janeiro</t>
        </is>
      </c>
      <c r="P10" s="9">
        <f>IFERROR(J10/K10,0)</f>
        <v/>
      </c>
      <c r="Q10" s="9">
        <f>IFERROR(L10/SUM(L$4:L$13),0)</f>
        <v/>
      </c>
      <c r="R10" s="8">
        <f>TEXT(B10,"MM/AAAA")</f>
        <v/>
      </c>
    </row>
    <row r="11">
      <c r="A11" s="10" t="inlineStr">
        <is>
          <t>05/04/2026</t>
        </is>
      </c>
      <c r="B11" s="10" t="inlineStr">
        <is>
          <t>20/05/2026</t>
        </is>
      </c>
      <c r="C11" s="11" t="inlineStr">
        <is>
          <t>KNRI11</t>
        </is>
      </c>
      <c r="D11" s="11" t="inlineStr">
        <is>
          <t>Rendimento FII</t>
        </is>
      </c>
      <c r="E11" s="12" t="inlineStr">
        <is>
          <t>Kinea Renda Imobiliária FII</t>
        </is>
      </c>
      <c r="F11" s="11" t="inlineStr">
        <is>
          <t>KNRI11</t>
        </is>
      </c>
      <c r="G11" s="11" t="inlineStr">
        <is>
          <t>Fundos Imobiliários</t>
        </is>
      </c>
      <c r="H11" s="11" t="n">
        <v>300</v>
      </c>
      <c r="I11" s="6" t="n">
        <v>0.95</v>
      </c>
      <c r="J11" s="6" t="n">
        <v>0</v>
      </c>
      <c r="K11" s="7">
        <f>H11*I11</f>
        <v/>
      </c>
      <c r="L11" s="7">
        <f>K11-J11</f>
        <v/>
      </c>
      <c r="M11" s="11" t="inlineStr">
        <is>
          <t>Rico Investimentos</t>
        </is>
      </c>
      <c r="N11" s="8">
        <f>IF(B11&lt;=TODAY(),"Recebido","Previsto")</f>
        <v/>
      </c>
      <c r="O11" s="12" t="inlineStr">
        <is>
          <t>Recebido - Investidor Belo Horizonte</t>
        </is>
      </c>
      <c r="P11" s="9">
        <f>IFERROR(J11/K11,0)</f>
        <v/>
      </c>
      <c r="Q11" s="9">
        <f>IFERROR(L11/SUM(L$4:L$13),0)</f>
        <v/>
      </c>
      <c r="R11" s="8">
        <f>TEXT(B11,"MM/AAAA")</f>
        <v/>
      </c>
    </row>
    <row r="12">
      <c r="A12" s="3" t="inlineStr">
        <is>
          <t>15/04/2026</t>
        </is>
      </c>
      <c r="B12" s="3" t="inlineStr">
        <is>
          <t>10/06/2026</t>
        </is>
      </c>
      <c r="C12" s="4" t="inlineStr">
        <is>
          <t>MXRF11</t>
        </is>
      </c>
      <c r="D12" s="4" t="inlineStr">
        <is>
          <t>Rendimento FII</t>
        </is>
      </c>
      <c r="E12" s="5" t="inlineStr">
        <is>
          <t>Maxi Renda FII</t>
        </is>
      </c>
      <c r="F12" s="4" t="inlineStr">
        <is>
          <t>MXRF11</t>
        </is>
      </c>
      <c r="G12" s="4" t="inlineStr">
        <is>
          <t>Fundos Imobiliários</t>
        </is>
      </c>
      <c r="H12" s="4" t="n">
        <v>1000</v>
      </c>
      <c r="I12" s="6" t="n">
        <v>0.11</v>
      </c>
      <c r="J12" s="6" t="n">
        <v>0</v>
      </c>
      <c r="K12" s="7">
        <f>H12*I12</f>
        <v/>
      </c>
      <c r="L12" s="7">
        <f>K12-J12</f>
        <v/>
      </c>
      <c r="M12" s="4" t="inlineStr">
        <is>
          <t>Clear Corretora</t>
        </is>
      </c>
      <c r="N12" s="8">
        <f>IF(B12&lt;=TODAY(),"Recebido","Previsto")</f>
        <v/>
      </c>
      <c r="O12" s="5" t="inlineStr">
        <is>
          <t>Recebido - Investidor Curitiba</t>
        </is>
      </c>
      <c r="P12" s="9">
        <f>IFERROR(J12/K12,0)</f>
        <v/>
      </c>
      <c r="Q12" s="9">
        <f>IFERROR(L12/SUM(L$4:L$13),0)</f>
        <v/>
      </c>
      <c r="R12" s="8">
        <f>TEXT(B12,"MM/AAAA")</f>
        <v/>
      </c>
    </row>
    <row r="13">
      <c r="A13" s="10" t="inlineStr">
        <is>
          <t>25/04/2026</t>
        </is>
      </c>
      <c r="B13" s="10" t="inlineStr">
        <is>
          <t>15/08/2026</t>
        </is>
      </c>
      <c r="C13" s="11" t="inlineStr">
        <is>
          <t>BTLG11</t>
        </is>
      </c>
      <c r="D13" s="11" t="inlineStr">
        <is>
          <t>Rendimento FII</t>
        </is>
      </c>
      <c r="E13" s="12" t="inlineStr">
        <is>
          <t>BTG Pactual Logística FII</t>
        </is>
      </c>
      <c r="F13" s="11" t="inlineStr">
        <is>
          <t>BTLG11</t>
        </is>
      </c>
      <c r="G13" s="11" t="inlineStr">
        <is>
          <t>Fundos Imobiliários</t>
        </is>
      </c>
      <c r="H13" s="11" t="n">
        <v>350</v>
      </c>
      <c r="I13" s="6" t="n">
        <v>1.05</v>
      </c>
      <c r="J13" s="6" t="n">
        <v>0</v>
      </c>
      <c r="K13" s="7">
        <f>H13*I13</f>
        <v/>
      </c>
      <c r="L13" s="7">
        <f>K13-J13</f>
        <v/>
      </c>
      <c r="M13" s="11" t="inlineStr">
        <is>
          <t>XP Investimentos</t>
        </is>
      </c>
      <c r="N13" s="8">
        <f>IF(B13&lt;=TODAY(),"Recebido","Previsto")</f>
        <v/>
      </c>
      <c r="O13" s="12" t="inlineStr">
        <is>
          <t>Aguardando pagamento - Investidor Porto Alegre</t>
        </is>
      </c>
      <c r="P13" s="9">
        <f>IFERROR(J13/K13,0)</f>
        <v/>
      </c>
      <c r="Q13" s="9">
        <f>IFERROR(L13/SUM(L$4:L$13),0)</f>
        <v/>
      </c>
      <c r="R13" s="8">
        <f>TEXT(B13,"MM/AAAA")</f>
        <v/>
      </c>
    </row>
    <row r="14">
      <c r="A14" s="13" t="n"/>
      <c r="B14" s="13" t="n"/>
      <c r="C14" s="14" t="inlineStr">
        <is>
          <t>TOTAL GERAL</t>
        </is>
      </c>
      <c r="D14" s="13" t="n"/>
      <c r="E14" s="13" t="n"/>
      <c r="F14" s="13" t="n"/>
      <c r="G14" s="13" t="n"/>
      <c r="H14" s="15">
        <f>SUM(H4:H13)</f>
        <v/>
      </c>
      <c r="I14" s="13" t="n"/>
      <c r="J14" s="16">
        <f>SUM(J4:J13)</f>
        <v/>
      </c>
      <c r="K14" s="16">
        <f>SUM(K4:K13)</f>
        <v/>
      </c>
      <c r="L14" s="16">
        <f>SUM(L4:L13)</f>
        <v/>
      </c>
      <c r="M14" s="13" t="n"/>
      <c r="N14" s="13" t="n"/>
      <c r="O14" s="13" t="n"/>
      <c r="P14" s="13" t="n"/>
      <c r="Q14" s="13" t="n"/>
      <c r="R14" s="13" t="n"/>
    </row>
  </sheetData>
  <mergeCells count="1">
    <mergeCell ref="A1:R1"/>
  </mergeCells>
  <conditionalFormatting sqref="N4:N13">
    <cfRule type="expression" priority="1" dxfId="0" stopIfTrue="1">
      <formula>N4="Recebido"</formula>
    </cfRule>
    <cfRule type="expression" priority="2" dxfId="1" stopIfTrue="1">
      <formula>N4="Previsto"</formula>
    </cfRule>
  </conditionalFormatting>
  <dataValidations count="2">
    <dataValidation sqref="D4:D13" showErrorMessage="1" showInputMessage="1" allowBlank="1" type="list">
      <formula1>"Dividendo,JCP,Rendimento FII"</formula1>
    </dataValidation>
    <dataValidation sqref="N4:N13" showErrorMessage="1" showInputMessage="1" allowBlank="1" type="list">
      <formula1>"Previsto,Recebido,Em Acompanhamento"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0" customWidth="1" min="3" max="3"/>
    <col width="16" customWidth="1" min="4" max="4"/>
    <col width="12" customWidth="1" min="5" max="5"/>
  </cols>
  <sheetData>
    <row r="1" ht="26" customHeight="1">
      <c r="A1" s="1" t="inlineStr">
        <is>
          <t>DASHBOARD EXECUTIVO DE DIVIDENDOS - 2026</t>
        </is>
      </c>
    </row>
    <row r="2"/>
    <row r="3">
      <c r="A3" s="17" t="inlineStr">
        <is>
          <t>INDICADORES GERAIS</t>
        </is>
      </c>
    </row>
    <row r="4">
      <c r="A4" s="18" t="inlineStr">
        <is>
          <t>Total Bruto Recebido</t>
        </is>
      </c>
      <c r="B4" s="19">
        <f>SUM(Base_Dividendos!K4:K13)</f>
        <v/>
      </c>
    </row>
    <row r="5">
      <c r="A5" s="20" t="inlineStr">
        <is>
          <t>Total Líquido Recebido</t>
        </is>
      </c>
      <c r="B5" s="21">
        <f>SUM(Base_Dividendos!L4:L13)</f>
        <v/>
      </c>
    </row>
    <row r="6">
      <c r="A6" s="18" t="inlineStr">
        <is>
          <t>Total de IR Retido</t>
        </is>
      </c>
      <c r="B6" s="19">
        <f>SUM(Base_Dividendos!J4:J13)</f>
        <v/>
      </c>
    </row>
    <row r="7">
      <c r="A7" s="20" t="inlineStr">
        <is>
          <t>Qtde de Pagamentos Recebidos</t>
        </is>
      </c>
      <c r="B7" s="22">
        <f>COUNTIF(Base_Dividendos!N4:N13,"Recebido")</f>
        <v/>
      </c>
    </row>
    <row r="8">
      <c r="A8" s="18" t="inlineStr">
        <is>
          <t>Média Mensal de Proventos</t>
        </is>
      </c>
      <c r="B8" s="19">
        <f>IFERROR(AVERAGE(C14:C20),0)</f>
        <v/>
      </c>
    </row>
    <row r="9">
      <c r="A9" s="20" t="inlineStr">
        <is>
          <t>Maior Provento (Valor Líquido)</t>
        </is>
      </c>
      <c r="B9" s="21">
        <f>MAX(Base_Dividendos!L4:L13)</f>
        <v/>
      </c>
    </row>
    <row r="10">
      <c r="A10" s="23" t="inlineStr">
        <is>
          <t>Ativo com Maior Provento</t>
        </is>
      </c>
      <c r="B10" s="24">
        <f>IFERROR(INDEX(Base_Dividendos!C4:C13,MATCH(MAX(Base_Dividendos!L4:L13),Base_Dividendos!L4:L13,0)),"")</f>
        <v/>
      </c>
    </row>
    <row r="11"/>
    <row r="12">
      <c r="A12" s="17" t="inlineStr">
        <is>
          <t>PROVENTOS LÍQUIDOS POR MÊS</t>
        </is>
      </c>
    </row>
    <row r="13">
      <c r="A13" s="2" t="inlineStr">
        <is>
          <t>Mês/Ano</t>
        </is>
      </c>
      <c r="B13" s="2" t="inlineStr">
        <is>
          <t>Valor Líquido (R$)</t>
        </is>
      </c>
      <c r="C13" s="2" t="inlineStr">
        <is>
          <t>Qtde Pagamentos</t>
        </is>
      </c>
    </row>
    <row r="14">
      <c r="A14" s="4" t="inlineStr">
        <is>
          <t>01/2026</t>
        </is>
      </c>
      <c r="B14" s="25">
        <f>SUMIF(Base_Dividendos!$R$4:$R$13,A14,Base_Dividendos!$L$4:$L$13)</f>
        <v/>
      </c>
      <c r="C14" s="4">
        <f>COUNTIF(Base_Dividendos!$R$4:$R$13,A14)</f>
        <v/>
      </c>
    </row>
    <row r="15">
      <c r="A15" s="11" t="inlineStr">
        <is>
          <t>02/2026</t>
        </is>
      </c>
      <c r="B15" s="26">
        <f>SUMIF(Base_Dividendos!$R$4:$R$13,A15,Base_Dividendos!$L$4:$L$13)</f>
        <v/>
      </c>
      <c r="C15" s="11">
        <f>COUNTIF(Base_Dividendos!$R$4:$R$13,A15)</f>
        <v/>
      </c>
    </row>
    <row r="16">
      <c r="A16" s="4" t="inlineStr">
        <is>
          <t>03/2026</t>
        </is>
      </c>
      <c r="B16" s="25">
        <f>SUMIF(Base_Dividendos!$R$4:$R$13,A16,Base_Dividendos!$L$4:$L$13)</f>
        <v/>
      </c>
      <c r="C16" s="4">
        <f>COUNTIF(Base_Dividendos!$R$4:$R$13,A16)</f>
        <v/>
      </c>
    </row>
    <row r="17">
      <c r="A17" s="11" t="inlineStr">
        <is>
          <t>04/2026</t>
        </is>
      </c>
      <c r="B17" s="26">
        <f>SUMIF(Base_Dividendos!$R$4:$R$13,A17,Base_Dividendos!$L$4:$L$13)</f>
        <v/>
      </c>
      <c r="C17" s="11">
        <f>COUNTIF(Base_Dividendos!$R$4:$R$13,A17)</f>
        <v/>
      </c>
    </row>
    <row r="18">
      <c r="A18" s="4" t="inlineStr">
        <is>
          <t>05/2026</t>
        </is>
      </c>
      <c r="B18" s="25">
        <f>SUMIF(Base_Dividendos!$R$4:$R$13,A18,Base_Dividendos!$L$4:$L$13)</f>
        <v/>
      </c>
      <c r="C18" s="4">
        <f>COUNTIF(Base_Dividendos!$R$4:$R$13,A18)</f>
        <v/>
      </c>
    </row>
    <row r="19">
      <c r="A19" s="11" t="inlineStr">
        <is>
          <t>06/2026</t>
        </is>
      </c>
      <c r="B19" s="26">
        <f>SUMIF(Base_Dividendos!$R$4:$R$13,A19,Base_Dividendos!$L$4:$L$13)</f>
        <v/>
      </c>
      <c r="C19" s="11">
        <f>COUNTIF(Base_Dividendos!$R$4:$R$13,A19)</f>
        <v/>
      </c>
    </row>
    <row r="20">
      <c r="A20" s="4" t="inlineStr">
        <is>
          <t>08/2026</t>
        </is>
      </c>
      <c r="B20" s="25">
        <f>SUMIF(Base_Dividendos!$R$4:$R$13,A20,Base_Dividendos!$L$4:$L$13)</f>
        <v/>
      </c>
      <c r="C20" s="4">
        <f>COUNTIF(Base_Dividendos!$R$4:$R$13,A20)</f>
        <v/>
      </c>
    </row>
    <row r="21"/>
    <row r="22">
      <c r="A22" s="17" t="inlineStr">
        <is>
          <t>PROVENTOS POR TIPO</t>
        </is>
      </c>
    </row>
    <row r="23">
      <c r="A23" s="2" t="inlineStr">
        <is>
          <t>Tipo de Provento</t>
        </is>
      </c>
      <c r="B23" s="2" t="inlineStr">
        <is>
          <t>Valor Líquido (R$)</t>
        </is>
      </c>
      <c r="C23" s="2" t="inlineStr">
        <is>
          <t>Qtde</t>
        </is>
      </c>
    </row>
    <row r="24">
      <c r="A24" s="4" t="inlineStr">
        <is>
          <t>Dividendo</t>
        </is>
      </c>
      <c r="B24" s="25">
        <f>SUMIF(Base_Dividendos!$D$4:$D$13,A24,Base_Dividendos!$L$4:$L$13)</f>
        <v/>
      </c>
      <c r="C24" s="4">
        <f>COUNTIF(Base_Dividendos!$D$4:$D$13,A24)</f>
        <v/>
      </c>
    </row>
    <row r="25">
      <c r="A25" s="11" t="inlineStr">
        <is>
          <t>JCP</t>
        </is>
      </c>
      <c r="B25" s="26">
        <f>SUMIF(Base_Dividendos!$D$4:$D$13,A25,Base_Dividendos!$L$4:$L$13)</f>
        <v/>
      </c>
      <c r="C25" s="11">
        <f>COUNTIF(Base_Dividendos!$D$4:$D$13,A25)</f>
        <v/>
      </c>
    </row>
    <row r="26">
      <c r="A26" s="4" t="inlineStr">
        <is>
          <t>Rendimento FII</t>
        </is>
      </c>
      <c r="B26" s="25">
        <f>SUMIF(Base_Dividendos!$D$4:$D$13,A26,Base_Dividendos!$L$4:$L$13)</f>
        <v/>
      </c>
      <c r="C26" s="4">
        <f>COUNTIF(Base_Dividendos!$D$4:$D$13,A26)</f>
        <v/>
      </c>
    </row>
    <row r="27"/>
    <row r="28"/>
    <row r="29">
      <c r="A29" s="17" t="inlineStr">
        <is>
          <t>PROVENTOS POR ATIVO</t>
        </is>
      </c>
    </row>
    <row r="30">
      <c r="A30" s="2" t="inlineStr">
        <is>
          <t>Ativo/Ticker</t>
        </is>
      </c>
      <c r="B30" s="2" t="inlineStr">
        <is>
          <t>Setor (PROCV)</t>
        </is>
      </c>
      <c r="C30" s="2" t="inlineStr">
        <is>
          <t>Valor Líquido (R$)</t>
        </is>
      </c>
      <c r="D30" s="2" t="inlineStr">
        <is>
          <t>% do Total</t>
        </is>
      </c>
      <c r="E30" s="2" t="inlineStr">
        <is>
          <t>Status</t>
        </is>
      </c>
    </row>
    <row r="31">
      <c r="A31" s="4">
        <f>Base_Dividendos!F4</f>
        <v/>
      </c>
      <c r="B31" s="4">
        <f>IFERROR(VLOOKUP(A31,Base_Dividendos!$F$4:$G$13,2,0),"")</f>
        <v/>
      </c>
      <c r="C31" s="25">
        <f>Base_Dividendos!L4</f>
        <v/>
      </c>
      <c r="D31" s="27">
        <f>IFERROR(C31/SUM($C$31:$C$40),0)</f>
        <v/>
      </c>
      <c r="E31" s="4">
        <f>IF(C31&gt;=200,"Alta",IF(C31&gt;=100,"Média","Baixa"))</f>
        <v/>
      </c>
    </row>
    <row r="32">
      <c r="A32" s="11">
        <f>Base_Dividendos!F5</f>
        <v/>
      </c>
      <c r="B32" s="11">
        <f>IFERROR(VLOOKUP(A32,Base_Dividendos!$F$4:$G$13,2,0),"")</f>
        <v/>
      </c>
      <c r="C32" s="26">
        <f>Base_Dividendos!L5</f>
        <v/>
      </c>
      <c r="D32" s="28">
        <f>IFERROR(C32/SUM($C$31:$C$40),0)</f>
        <v/>
      </c>
      <c r="E32" s="11">
        <f>IF(C32&gt;=200,"Alta",IF(C32&gt;=100,"Média","Baixa"))</f>
        <v/>
      </c>
    </row>
    <row r="33">
      <c r="A33" s="4">
        <f>Base_Dividendos!F6</f>
        <v/>
      </c>
      <c r="B33" s="4">
        <f>IFERROR(VLOOKUP(A33,Base_Dividendos!$F$4:$G$13,2,0),"")</f>
        <v/>
      </c>
      <c r="C33" s="25">
        <f>Base_Dividendos!L6</f>
        <v/>
      </c>
      <c r="D33" s="27">
        <f>IFERROR(C33/SUM($C$31:$C$40),0)</f>
        <v/>
      </c>
      <c r="E33" s="4">
        <f>IF(C33&gt;=200,"Alta",IF(C33&gt;=100,"Média","Baixa"))</f>
        <v/>
      </c>
    </row>
    <row r="34">
      <c r="A34" s="11">
        <f>Base_Dividendos!F7</f>
        <v/>
      </c>
      <c r="B34" s="11">
        <f>IFERROR(VLOOKUP(A34,Base_Dividendos!$F$4:$G$13,2,0),"")</f>
        <v/>
      </c>
      <c r="C34" s="26">
        <f>Base_Dividendos!L7</f>
        <v/>
      </c>
      <c r="D34" s="28">
        <f>IFERROR(C34/SUM($C$31:$C$40),0)</f>
        <v/>
      </c>
      <c r="E34" s="11">
        <f>IF(C34&gt;=200,"Alta",IF(C34&gt;=100,"Média","Baixa"))</f>
        <v/>
      </c>
    </row>
    <row r="35">
      <c r="A35" s="4">
        <f>Base_Dividendos!F8</f>
        <v/>
      </c>
      <c r="B35" s="4">
        <f>IFERROR(VLOOKUP(A35,Base_Dividendos!$F$4:$G$13,2,0),"")</f>
        <v/>
      </c>
      <c r="C35" s="25">
        <f>Base_Dividendos!L8</f>
        <v/>
      </c>
      <c r="D35" s="27">
        <f>IFERROR(C35/SUM($C$31:$C$40),0)</f>
        <v/>
      </c>
      <c r="E35" s="4">
        <f>IF(C35&gt;=200,"Alta",IF(C35&gt;=100,"Média","Baixa"))</f>
        <v/>
      </c>
    </row>
    <row r="36">
      <c r="A36" s="11">
        <f>Base_Dividendos!F9</f>
        <v/>
      </c>
      <c r="B36" s="11">
        <f>IFERROR(VLOOKUP(A36,Base_Dividendos!$F$4:$G$13,2,0),"")</f>
        <v/>
      </c>
      <c r="C36" s="26">
        <f>Base_Dividendos!L9</f>
        <v/>
      </c>
      <c r="D36" s="28">
        <f>IFERROR(C36/SUM($C$31:$C$40),0)</f>
        <v/>
      </c>
      <c r="E36" s="11">
        <f>IF(C36&gt;=200,"Alta",IF(C36&gt;=100,"Média","Baixa"))</f>
        <v/>
      </c>
    </row>
    <row r="37">
      <c r="A37" s="4">
        <f>Base_Dividendos!F10</f>
        <v/>
      </c>
      <c r="B37" s="4">
        <f>IFERROR(VLOOKUP(A37,Base_Dividendos!$F$4:$G$13,2,0),"")</f>
        <v/>
      </c>
      <c r="C37" s="25">
        <f>Base_Dividendos!L10</f>
        <v/>
      </c>
      <c r="D37" s="27">
        <f>IFERROR(C37/SUM($C$31:$C$40),0)</f>
        <v/>
      </c>
      <c r="E37" s="4">
        <f>IF(C37&gt;=200,"Alta",IF(C37&gt;=100,"Média","Baixa"))</f>
        <v/>
      </c>
    </row>
    <row r="38">
      <c r="A38" s="11">
        <f>Base_Dividendos!F11</f>
        <v/>
      </c>
      <c r="B38" s="11">
        <f>IFERROR(VLOOKUP(A38,Base_Dividendos!$F$4:$G$13,2,0),"")</f>
        <v/>
      </c>
      <c r="C38" s="26">
        <f>Base_Dividendos!L11</f>
        <v/>
      </c>
      <c r="D38" s="28">
        <f>IFERROR(C38/SUM($C$31:$C$40),0)</f>
        <v/>
      </c>
      <c r="E38" s="11">
        <f>IF(C38&gt;=200,"Alta",IF(C38&gt;=100,"Média","Baixa"))</f>
        <v/>
      </c>
    </row>
    <row r="39">
      <c r="A39" s="4">
        <f>Base_Dividendos!F12</f>
        <v/>
      </c>
      <c r="B39" s="4">
        <f>IFERROR(VLOOKUP(A39,Base_Dividendos!$F$4:$G$13,2,0),"")</f>
        <v/>
      </c>
      <c r="C39" s="25">
        <f>Base_Dividendos!L12</f>
        <v/>
      </c>
      <c r="D39" s="27">
        <f>IFERROR(C39/SUM($C$31:$C$40),0)</f>
        <v/>
      </c>
      <c r="E39" s="4">
        <f>IF(C39&gt;=200,"Alta",IF(C39&gt;=100,"Média","Baixa"))</f>
        <v/>
      </c>
    </row>
    <row r="40">
      <c r="A40" s="11">
        <f>Base_Dividendos!F13</f>
        <v/>
      </c>
      <c r="B40" s="11">
        <f>IFERROR(VLOOKUP(A40,Base_Dividendos!$F$4:$G$13,2,0),"")</f>
        <v/>
      </c>
      <c r="C40" s="26">
        <f>Base_Dividendos!L13</f>
        <v/>
      </c>
      <c r="D40" s="28">
        <f>IFERROR(C40/SUM($C$31:$C$40),0)</f>
        <v/>
      </c>
      <c r="E40" s="11">
        <f>IF(C40&gt;=200,"Alta",IF(C40&gt;=100,"Média","Baixa"))</f>
        <v/>
      </c>
    </row>
    <row r="41"/>
    <row r="42"/>
    <row r="43">
      <c r="A43" s="17" t="inlineStr">
        <is>
          <t>PROVENTOS POR SETOR</t>
        </is>
      </c>
    </row>
    <row r="44">
      <c r="A44" s="2" t="inlineStr">
        <is>
          <t>Setor</t>
        </is>
      </c>
      <c r="B44" s="2" t="inlineStr">
        <is>
          <t>Valor Líquido (R$)</t>
        </is>
      </c>
      <c r="C44" s="2" t="inlineStr">
        <is>
          <t>Desempenho</t>
        </is>
      </c>
    </row>
    <row r="45">
      <c r="A45" s="4" t="inlineStr">
        <is>
          <t>Bancos</t>
        </is>
      </c>
      <c r="B45" s="25">
        <f>SUMIF(Base_Dividendos!$G$4:$G$13,A45,Base_Dividendos!$L$4:$L$13)</f>
        <v/>
      </c>
      <c r="C45" s="4">
        <f>IF(B45&gt;=200,"Alta",IF(B45&gt;=100,"Média","Baixa"))</f>
        <v/>
      </c>
    </row>
    <row r="46">
      <c r="A46" s="11" t="inlineStr">
        <is>
          <t>Energia Elétrica</t>
        </is>
      </c>
      <c r="B46" s="26">
        <f>SUMIF(Base_Dividendos!$G$4:$G$13,A46,Base_Dividendos!$L$4:$L$13)</f>
        <v/>
      </c>
      <c r="C46" s="11">
        <f>IF(B46&gt;=200,"Alta",IF(B46&gt;=100,"Média","Baixa"))</f>
        <v/>
      </c>
    </row>
    <row r="47">
      <c r="A47" s="4" t="inlineStr">
        <is>
          <t>Bens Industriais</t>
        </is>
      </c>
      <c r="B47" s="25">
        <f>SUMIF(Base_Dividendos!$G$4:$G$13,A47,Base_Dividendos!$L$4:$L$13)</f>
        <v/>
      </c>
      <c r="C47" s="4">
        <f>IF(B47&gt;=200,"Alta",IF(B47&gt;=100,"Média","Baixa"))</f>
        <v/>
      </c>
    </row>
    <row r="48">
      <c r="A48" s="11" t="inlineStr">
        <is>
          <t>Mineração</t>
        </is>
      </c>
      <c r="B48" s="26">
        <f>SUMIF(Base_Dividendos!$G$4:$G$13,A48,Base_Dividendos!$L$4:$L$13)</f>
        <v/>
      </c>
      <c r="C48" s="11">
        <f>IF(B48&gt;=200,"Alta",IF(B48&gt;=100,"Média","Baixa"))</f>
        <v/>
      </c>
    </row>
    <row r="49">
      <c r="A49" s="4" t="inlineStr">
        <is>
          <t>Fundos Imobiliários</t>
        </is>
      </c>
      <c r="B49" s="25">
        <f>SUMIF(Base_Dividendos!$G$4:$G$13,A49,Base_Dividendos!$L$4:$L$13)</f>
        <v/>
      </c>
      <c r="C49" s="4">
        <f>IF(B49&gt;=200,"Alta",IF(B49&gt;=100,"Média","Baixa"))</f>
        <v/>
      </c>
    </row>
    <row r="50"/>
    <row r="51"/>
    <row r="52">
      <c r="A52" s="17" t="inlineStr">
        <is>
          <t>TOP 5 ATIVOS POR VALOR LÍQUIDO RECEBIDO</t>
        </is>
      </c>
    </row>
    <row r="53">
      <c r="A53" s="2" t="inlineStr">
        <is>
          <t>Ranking</t>
        </is>
      </c>
      <c r="B53" s="2" t="inlineStr">
        <is>
          <t>Ativo</t>
        </is>
      </c>
      <c r="C53" s="2" t="inlineStr">
        <is>
          <t>Valor Líquido (R$)</t>
        </is>
      </c>
    </row>
    <row r="54">
      <c r="A54" s="11" t="n">
        <v>1</v>
      </c>
      <c r="B54" s="11">
        <f>IFERROR(INDEX(Base_Dividendos!$C$4:$C$13,MATCH(LARGE(Base_Dividendos!$L$4:$L$13,1),Base_Dividendos!$L$4:$L$13,0)),"")</f>
        <v/>
      </c>
      <c r="C54" s="26">
        <f>IFERROR(LARGE(Base_Dividendos!$L$4:$L$13,1),0)</f>
        <v/>
      </c>
    </row>
    <row r="55">
      <c r="A55" s="4" t="n">
        <v>2</v>
      </c>
      <c r="B55" s="4">
        <f>IFERROR(INDEX(Base_Dividendos!$C$4:$C$13,MATCH(LARGE(Base_Dividendos!$L$4:$L$13,2),Base_Dividendos!$L$4:$L$13,0)),"")</f>
        <v/>
      </c>
      <c r="C55" s="25">
        <f>IFERROR(LARGE(Base_Dividendos!$L$4:$L$13,2),0)</f>
        <v/>
      </c>
    </row>
    <row r="56">
      <c r="A56" s="11" t="n">
        <v>3</v>
      </c>
      <c r="B56" s="11">
        <f>IFERROR(INDEX(Base_Dividendos!$C$4:$C$13,MATCH(LARGE(Base_Dividendos!$L$4:$L$13,3),Base_Dividendos!$L$4:$L$13,0)),"")</f>
        <v/>
      </c>
      <c r="C56" s="26">
        <f>IFERROR(LARGE(Base_Dividendos!$L$4:$L$13,3),0)</f>
        <v/>
      </c>
    </row>
    <row r="57">
      <c r="A57" s="4" t="n">
        <v>4</v>
      </c>
      <c r="B57" s="4">
        <f>IFERROR(INDEX(Base_Dividendos!$C$4:$C$13,MATCH(LARGE(Base_Dividendos!$L$4:$L$13,4),Base_Dividendos!$L$4:$L$13,0)),"")</f>
        <v/>
      </c>
      <c r="C57" s="25">
        <f>IFERROR(LARGE(Base_Dividendos!$L$4:$L$13,4),0)</f>
        <v/>
      </c>
    </row>
    <row r="58">
      <c r="A58" s="11" t="n">
        <v>5</v>
      </c>
      <c r="B58" s="11">
        <f>IFERROR(INDEX(Base_Dividendos!$C$4:$C$13,MATCH(LARGE(Base_Dividendos!$L$4:$L$13,5),Base_Dividendos!$L$4:$L$13,0)),"")</f>
        <v/>
      </c>
      <c r="C58" s="26">
        <f>IFERROR(LARGE(Base_Dividendos!$L$4:$L$13,5),0)</f>
        <v/>
      </c>
    </row>
  </sheetData>
  <mergeCells count="7">
    <mergeCell ref="A1:F1"/>
    <mergeCell ref="A3:B3"/>
    <mergeCell ref="A12:C12"/>
    <mergeCell ref="A22:C22"/>
    <mergeCell ref="A29:E29"/>
    <mergeCell ref="A43:C43"/>
    <mergeCell ref="A52:C5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 ht="26" customHeight="1">
      <c r="A1" s="1" t="inlineStr">
        <is>
          <t>INSTRUÇÕES DE USO - CONTROLE DE DIVIDENDOS</t>
        </is>
      </c>
    </row>
    <row r="2"/>
    <row r="3">
      <c r="A3" s="29" t="inlineStr">
        <is>
          <t>1. Base_Dividendos</t>
        </is>
      </c>
    </row>
    <row r="4" ht="40" customHeight="1">
      <c r="A4" s="30" t="inlineStr">
        <is>
          <t>Registre nesta planilha todo pagamento de dividendo, JCP ou rendimento de FII recebido. Preencha as células amarelas (Quantidade e Provento por Cota/Ação) manualmente; os demais valores (Valor Bruto, Valor Líquido, Status, percentuais) são calculados automaticamente.</t>
        </is>
      </c>
    </row>
    <row r="5"/>
    <row r="6"/>
    <row r="7">
      <c r="A7" s="29" t="inlineStr">
        <is>
          <t>2. Colunas principais</t>
        </is>
      </c>
    </row>
    <row r="8" ht="40" customHeight="1">
      <c r="A8" s="30" t="inlineStr">
        <is>
          <t>Data de Corte, Data de Pagamento, Ativo, Tipo de Provento (Dividendo/JCP/Rendimento FII), Empresa/FII, Ticker, Setor, Quantidade, Provento por Cota/Ação, IR Retido, Valor Bruto, Valor Líquido, Corretora, Status e Observação.</t>
        </is>
      </c>
    </row>
    <row r="9"/>
    <row r="10"/>
    <row r="11">
      <c r="A11" s="29" t="inlineStr">
        <is>
          <t>3. Fórmulas automáticas</t>
        </is>
      </c>
    </row>
    <row r="12" ht="40" customHeight="1">
      <c r="A12" s="30" t="inlineStr">
        <is>
          <t>Valor Bruto = Quantidade x Provento por Cota/Ação. Valor Líquido = Valor Bruto - IR Retido. Status = Recebido quando a Data de Pagamento já ocorreu, caso contrário Previsto. Percentuais usam IFERROR para evitar erros com dados vazios.</t>
        </is>
      </c>
    </row>
    <row r="13"/>
    <row r="14"/>
    <row r="15">
      <c r="A15" s="29" t="inlineStr">
        <is>
          <t>4. Resumo</t>
        </is>
      </c>
    </row>
    <row r="16" ht="40" customHeight="1">
      <c r="A16" s="30" t="inlineStr">
        <is>
          <t>Painel executivo com totais, médias, quantidade de pagamentos recebidos e consolidações por mês, tipo, ativo e setor. Utiliza SOMA, MÉDIA, CONT.SE, PROCV, ÍNDICE/CORRESP e SE para classificar o desempenho de cada setor em Alta, Média ou Baixa.</t>
        </is>
      </c>
    </row>
    <row r="17"/>
    <row r="18"/>
    <row r="19">
      <c r="A19" s="29" t="inlineStr">
        <is>
          <t>5. Gráficos</t>
        </is>
      </c>
    </row>
    <row r="20" ht="40" customHeight="1">
      <c r="A20" s="30" t="inlineStr">
        <is>
          <t>O Resumo apresenta um gráfico de colunas com os proventos líquidos por mês, um gráfico de pizza com a participação por tipo de provento e um gráfico de barras horizontais com o Top 5 de ativos por valor líquido recebido.</t>
        </is>
      </c>
    </row>
    <row r="21"/>
    <row r="22"/>
    <row r="23">
      <c r="A23" s="29" t="inlineStr">
        <is>
          <t>6. Legenda de cores</t>
        </is>
      </c>
    </row>
    <row r="24" ht="40" customHeight="1">
      <c r="A24" s="30" t="inlineStr">
        <is>
          <t>Amarelo claro (#FFFBEB): células de entrada manual. Verde (#16A34A/#DCFCE7): status Recebido ou valores positivos. Vermelho (#DC2626/#FEE2E2): status Previsto ou alertas. Cinza claro (#F8FAFC): linhas alternadas para leitura facilitada.</t>
        </is>
      </c>
    </row>
    <row r="25"/>
    <row r="26"/>
    <row r="27">
      <c r="A27" s="29" t="inlineStr">
        <is>
          <t>7. Atualização dos dados</t>
        </is>
      </c>
    </row>
    <row r="28" ht="40" customHeight="1">
      <c r="A28" s="30" t="inlineStr">
        <is>
          <t>Sempre que houver um novo pagamento, insira uma nova linha na Base_Dividendos antes da linha de TOTAL GERAL, mantendo os formatos e fórmulas das colunas calculadas. Recomenda-se revisar mensalmente os dados de Data de Pagamento para manter o Status atualizado.</t>
        </is>
      </c>
    </row>
    <row r="29"/>
  </sheetData>
  <mergeCells count="15">
    <mergeCell ref="A1:D1"/>
    <mergeCell ref="A3:D3"/>
    <mergeCell ref="A4:D5"/>
    <mergeCell ref="A7:D7"/>
    <mergeCell ref="A8:D9"/>
    <mergeCell ref="A11:D11"/>
    <mergeCell ref="A12:D13"/>
    <mergeCell ref="A15:D15"/>
    <mergeCell ref="A16:D17"/>
    <mergeCell ref="A19:D19"/>
    <mergeCell ref="A20:D21"/>
    <mergeCell ref="A23:D23"/>
    <mergeCell ref="A24:D25"/>
    <mergeCell ref="A27:D27"/>
    <mergeCell ref="A28:D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2026-07-14T03:21:39Z</dcterms:created>
  <dcterms:modified xmlns:dcterms="http://purl.org/dc/terms/" xmlns:xsi="http://www.w3.org/2001/XMLSchema-instance" xsi:type="dcterms:W3CDTF">2026-07-14T03:21:39Z</dcterms:modified>
</cp:coreProperties>
</file>