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basteci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'Abastecimentos'!$A$1:$T$101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AAAA"/>
    <numFmt numFmtId="165" formatCode="#.##0,00"/>
    <numFmt numFmtId="166" formatCode="&quot;R$&quot; #.##0,00"/>
    <numFmt numFmtId="167" formatCode="0,0%"/>
    <numFmt numFmtId="168" formatCode="DD/MM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0F766E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DC2626"/>
      <sz val="10"/>
    </font>
  </fonts>
  <fills count="10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CFEFF"/>
      </patternFill>
    </fill>
    <fill>
      <patternFill patternType="solid">
        <fgColor rgb="00FFFFFF"/>
      </patternFill>
    </fill>
    <fill>
      <patternFill patternType="solid">
        <fgColor rgb="0006B6D4"/>
      </patternFill>
    </fill>
    <fill>
      <patternFill patternType="solid">
        <fgColor rgb="0022C55E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 wrapText="1"/>
    </xf>
    <xf numFmtId="168" fontId="2" fillId="4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total por combustível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'Resumo'!D11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'Resumo'!$A$12:$A$15</f>
            </numRef>
          </cat>
          <val>
            <numRef>
              <f>'Resumo'!$D$12:$D$15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Combustível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total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diária do gasto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'Resumo'!L11</f>
            </strRef>
          </tx>
          <spPr>
            <a:ln xmlns:a="http://schemas.openxmlformats.org/drawingml/2006/main" w="25000">
              <a:solidFill>
                <a:srgbClr val="06B6D4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numRef>
              <f>'Resumo'!$K$12:$K$111</f>
            </numRef>
          </cat>
          <val>
            <numRef>
              <f>'Resumo'!$L$12:$L$111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gasto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Média de km/l por veículo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'Resumo'!I11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'Resumo'!$H$12:$H$16</f>
            </numRef>
          </cat>
          <val>
            <numRef>
              <f>'Resumo'!$I$12:$I$16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Média km/l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Veículo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Participação dos litros por combustível</a:t>
            </a:r>
          </a:p>
        </rich>
      </tx>
    </title>
    <plotArea>
      <doughnutChart>
        <varyColors val="1"/>
        <ser>
          <idx val="0"/>
          <order val="0"/>
          <tx>
            <strRef>
              <f>'Resumo'!C11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'Resumo'!$A$12:$A$15</f>
            </numRef>
          </cat>
          <val>
            <numRef>
              <f>'Resumo'!$C$12:$C$15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114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114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131</row>
      <rowOff>0</rowOff>
    </from>
    <ext cx="504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131</row>
      <rowOff>0</rowOff>
    </from>
    <ext cx="576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6B6D4"/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24" customWidth="1" min="3" max="3"/>
    <col width="14" customWidth="1" min="4" max="4"/>
    <col width="22" customWidth="1" min="5" max="5"/>
    <col width="20" customWidth="1" min="6" max="6"/>
    <col width="24" customWidth="1" min="7" max="7"/>
    <col width="18" customWidth="1" min="8" max="8"/>
    <col width="20" customWidth="1" min="9" max="9"/>
    <col width="22" customWidth="1" min="10" max="10"/>
    <col width="21" customWidth="1" min="11" max="11"/>
    <col width="24" customWidth="1" min="12" max="12"/>
    <col width="18" customWidth="1" min="13" max="13"/>
    <col width="20" customWidth="1" min="14" max="14"/>
    <col width="18" customWidth="1" min="15" max="15"/>
    <col width="14" customWidth="1" min="16" max="16"/>
    <col width="24" customWidth="1" min="17" max="17"/>
    <col width="22" customWidth="1" min="18" max="18"/>
    <col width="32" customWidth="1" min="19" max="19"/>
    <col width="14" customWidth="1" min="20" max="20"/>
  </cols>
  <sheetData>
    <row r="1" ht="34" customHeight="1">
      <c r="A1" s="1" t="inlineStr">
        <is>
          <t>ID</t>
        </is>
      </c>
      <c r="B1" s="1" t="inlineStr">
        <is>
          <t>Data</t>
        </is>
      </c>
      <c r="C1" s="1" t="inlineStr">
        <is>
          <t>Veículo</t>
        </is>
      </c>
      <c r="D1" s="1" t="inlineStr">
        <is>
          <t>Placa</t>
        </is>
      </c>
      <c r="E1" s="1" t="inlineStr">
        <is>
          <t>Motorista</t>
        </is>
      </c>
      <c r="F1" s="1" t="inlineStr">
        <is>
          <t>Centro de custo</t>
        </is>
      </c>
      <c r="G1" s="1" t="inlineStr">
        <is>
          <t>Posto</t>
        </is>
      </c>
      <c r="H1" s="1" t="inlineStr">
        <is>
          <t>Cidade/UF</t>
        </is>
      </c>
      <c r="I1" s="1" t="inlineStr">
        <is>
          <t>Tipo de combustível</t>
        </is>
      </c>
      <c r="J1" s="1" t="inlineStr">
        <is>
          <t>Odômetro anterior (km)</t>
        </is>
      </c>
      <c r="K1" s="1" t="inlineStr">
        <is>
          <t>Odômetro atual (km)</t>
        </is>
      </c>
      <c r="L1" s="1" t="inlineStr">
        <is>
          <t>Distância percorrida (km)</t>
        </is>
      </c>
      <c r="M1" s="1" t="inlineStr">
        <is>
          <t>Litros abastecidos</t>
        </is>
      </c>
      <c r="N1" s="1" t="inlineStr">
        <is>
          <t>Preço por litro (R$)</t>
        </is>
      </c>
      <c r="O1" s="1" t="inlineStr">
        <is>
          <t>Valor total (R$)</t>
        </is>
      </c>
      <c r="P1" s="1" t="inlineStr">
        <is>
          <t>Média km/l</t>
        </is>
      </c>
      <c r="Q1" s="1" t="inlineStr">
        <is>
          <t>Forma de pagamento</t>
        </is>
      </c>
      <c r="R1" s="1" t="inlineStr">
        <is>
          <t>Nota fiscal/NF-e</t>
        </is>
      </c>
      <c r="S1" s="1" t="inlineStr">
        <is>
          <t>Observações</t>
        </is>
      </c>
      <c r="T1" s="1" t="inlineStr">
        <is>
          <t>Status</t>
        </is>
      </c>
    </row>
    <row r="2">
      <c r="A2" s="2" t="n">
        <v>1</v>
      </c>
      <c r="B2" s="35" t="n">
        <v>46027</v>
      </c>
      <c r="C2" s="4" t="inlineStr">
        <is>
          <t>Fiat Strada</t>
        </is>
      </c>
      <c r="D2" s="2" t="inlineStr">
        <is>
          <t>BRA2E19</t>
        </is>
      </c>
      <c r="E2" s="4" t="inlineStr">
        <is>
          <t>João Silva</t>
        </is>
      </c>
      <c r="F2" s="4" t="inlineStr">
        <is>
          <t>Logística</t>
        </is>
      </c>
      <c r="G2" s="4" t="inlineStr">
        <is>
          <t>Posto Horizonte</t>
        </is>
      </c>
      <c r="H2" s="4" t="inlineStr">
        <is>
          <t>São Paulo/SP</t>
        </is>
      </c>
      <c r="I2" s="2" t="inlineStr">
        <is>
          <t>Gasolina</t>
        </is>
      </c>
      <c r="J2" s="5" t="n">
        <v>35240</v>
      </c>
      <c r="K2" s="5" t="n">
        <v>35520</v>
      </c>
      <c r="L2" s="6">
        <f>IF($A2="","",IFERROR($K2-$J2,0))</f>
        <v/>
      </c>
      <c r="M2" s="5" t="n">
        <v>45</v>
      </c>
      <c r="N2" s="7" t="n">
        <v>6.49</v>
      </c>
      <c r="O2" s="8">
        <f>IF($A2="","",IFERROR($M2*$N2,0))</f>
        <v/>
      </c>
      <c r="P2" s="6">
        <f>IF($A2="","",IFERROR($L2/$M2,0))</f>
        <v/>
      </c>
      <c r="Q2" s="2" t="inlineStr">
        <is>
          <t>Cartão corporativo</t>
        </is>
      </c>
      <c r="R2" s="2" t="inlineStr">
        <is>
          <t>NFe-2026-000101</t>
        </is>
      </c>
      <c r="S2" s="9" t="inlineStr">
        <is>
          <t>Rota urbana e entregas.</t>
        </is>
      </c>
      <c r="T2" s="10">
        <f>IF($A2="","",IF($P2&lt;6,"Atenção","Normal"))</f>
        <v/>
      </c>
    </row>
    <row r="3">
      <c r="A3" s="2" t="n">
        <v>2</v>
      </c>
      <c r="B3" s="35" t="n">
        <v>46028</v>
      </c>
      <c r="C3" s="4" t="inlineStr">
        <is>
          <t>Volkswagen Saveiro</t>
        </is>
      </c>
      <c r="D3" s="2" t="inlineStr">
        <is>
          <t>RLT5A83</t>
        </is>
      </c>
      <c r="E3" s="4" t="inlineStr">
        <is>
          <t>Maria Oliveira</t>
        </is>
      </c>
      <c r="F3" s="4" t="inlineStr">
        <is>
          <t>Vendas</t>
        </is>
      </c>
      <c r="G3" s="4" t="inlineStr">
        <is>
          <t>Auto Posto Campinas</t>
        </is>
      </c>
      <c r="H3" s="4" t="inlineStr">
        <is>
          <t>Campinas/SP</t>
        </is>
      </c>
      <c r="I3" s="2" t="inlineStr">
        <is>
          <t>Etanol</t>
        </is>
      </c>
      <c r="J3" s="5" t="n">
        <v>48710</v>
      </c>
      <c r="K3" s="5" t="n">
        <v>49020</v>
      </c>
      <c r="L3" s="6">
        <f>IF($A3="","",IFERROR($K3-$J3,0))</f>
        <v/>
      </c>
      <c r="M3" s="5" t="n">
        <v>50</v>
      </c>
      <c r="N3" s="7" t="n">
        <v>5.89</v>
      </c>
      <c r="O3" s="8">
        <f>IF($A3="","",IFERROR($M3*$N3,0))</f>
        <v/>
      </c>
      <c r="P3" s="6">
        <f>IF($A3="","",IFERROR($L3/$M3,0))</f>
        <v/>
      </c>
      <c r="Q3" s="2" t="inlineStr">
        <is>
          <t>Pix</t>
        </is>
      </c>
      <c r="R3" s="2" t="inlineStr">
        <is>
          <t>NFe-2026-000102</t>
        </is>
      </c>
      <c r="S3" s="9" t="inlineStr">
        <is>
          <t>Visitas comerciais regionais.</t>
        </is>
      </c>
      <c r="T3" s="10">
        <f>IF($A3="","",IF($P3&lt;6,"Atenção","Normal"))</f>
        <v/>
      </c>
    </row>
    <row r="4">
      <c r="A4" s="2" t="n">
        <v>3</v>
      </c>
      <c r="B4" s="35" t="n">
        <v>46030</v>
      </c>
      <c r="C4" s="4" t="inlineStr">
        <is>
          <t>Chevrolet Onix</t>
        </is>
      </c>
      <c r="D4" s="2" t="inlineStr">
        <is>
          <t>QWE8B42</t>
        </is>
      </c>
      <c r="E4" s="4" t="inlineStr">
        <is>
          <t>Pedro Santos</t>
        </is>
      </c>
      <c r="F4" s="4" t="inlineStr">
        <is>
          <t>Administrativo</t>
        </is>
      </c>
      <c r="G4" s="4" t="inlineStr">
        <is>
          <t>Posto Carioca</t>
        </is>
      </c>
      <c r="H4" s="4" t="inlineStr">
        <is>
          <t>Rio de Janeiro/RJ</t>
        </is>
      </c>
      <c r="I4" s="2" t="inlineStr">
        <is>
          <t>Gasolina</t>
        </is>
      </c>
      <c r="J4" s="5" t="n">
        <v>74210</v>
      </c>
      <c r="K4" s="5" t="n">
        <v>74550</v>
      </c>
      <c r="L4" s="6">
        <f>IF($A4="","",IFERROR($K4-$J4,0))</f>
        <v/>
      </c>
      <c r="M4" s="5" t="n">
        <v>48</v>
      </c>
      <c r="N4" s="7" t="n">
        <v>6.79</v>
      </c>
      <c r="O4" s="8">
        <f>IF($A4="","",IFERROR($M4*$N4,0))</f>
        <v/>
      </c>
      <c r="P4" s="6">
        <f>IF($A4="","",IFERROR($L4/$M4,0))</f>
        <v/>
      </c>
      <c r="Q4" s="2" t="inlineStr">
        <is>
          <t>Cartão corporativo</t>
        </is>
      </c>
      <c r="R4" s="2" t="inlineStr">
        <is>
          <t>NFe-2026-000103</t>
        </is>
      </c>
      <c r="S4" s="9" t="inlineStr">
        <is>
          <t>Deslocamentos administrativos.</t>
        </is>
      </c>
      <c r="T4" s="10">
        <f>IF($A4="","",IF($P4&lt;6,"Atenção","Normal"))</f>
        <v/>
      </c>
    </row>
    <row r="5">
      <c r="A5" s="2" t="n">
        <v>4</v>
      </c>
      <c r="B5" s="35" t="n">
        <v>46032</v>
      </c>
      <c r="C5" s="4" t="inlineStr">
        <is>
          <t>Renault Master</t>
        </is>
      </c>
      <c r="D5" s="2" t="inlineStr">
        <is>
          <t>TUV3C67</t>
        </is>
      </c>
      <c r="E5" s="4" t="inlineStr">
        <is>
          <t>Ana Souza</t>
        </is>
      </c>
      <c r="F5" s="4" t="inlineStr">
        <is>
          <t>Operações</t>
        </is>
      </c>
      <c r="G5" s="4" t="inlineStr">
        <is>
          <t>Posto Minas</t>
        </is>
      </c>
      <c r="H5" s="4" t="inlineStr">
        <is>
          <t>Belo Horizonte/MG</t>
        </is>
      </c>
      <c r="I5" s="2" t="inlineStr">
        <is>
          <t>Diesel</t>
        </is>
      </c>
      <c r="J5" s="5" t="n">
        <v>150320</v>
      </c>
      <c r="K5" s="5" t="n">
        <v>150700</v>
      </c>
      <c r="L5" s="6">
        <f>IF($A5="","",IFERROR($K5-$J5,0))</f>
        <v/>
      </c>
      <c r="M5" s="5" t="n">
        <v>65</v>
      </c>
      <c r="N5" s="7" t="n">
        <v>6.29</v>
      </c>
      <c r="O5" s="8">
        <f>IF($A5="","",IFERROR($M5*$N5,0))</f>
        <v/>
      </c>
      <c r="P5" s="6">
        <f>IF($A5="","",IFERROR($L5/$M5,0))</f>
        <v/>
      </c>
      <c r="Q5" s="2" t="inlineStr">
        <is>
          <t>Boleto</t>
        </is>
      </c>
      <c r="R5" s="2" t="inlineStr">
        <is>
          <t>NFe-2026-000104</t>
        </is>
      </c>
      <c r="S5" s="9" t="inlineStr">
        <is>
          <t>Consumo elevado: conferir rota e carga.</t>
        </is>
      </c>
      <c r="T5" s="10">
        <f>IF($A5="","",IF($P5&lt;6,"Atenção","Normal"))</f>
        <v/>
      </c>
    </row>
    <row r="6">
      <c r="A6" s="2" t="n">
        <v>5</v>
      </c>
      <c r="B6" s="35" t="n">
        <v>46035</v>
      </c>
      <c r="C6" s="4" t="inlineStr">
        <is>
          <t>Toyota Corolla</t>
        </is>
      </c>
      <c r="D6" s="2" t="inlineStr">
        <is>
          <t>MNO7D25</t>
        </is>
      </c>
      <c r="E6" s="4" t="inlineStr">
        <is>
          <t>Carlos Pereira</t>
        </is>
      </c>
      <c r="F6" s="4" t="inlineStr">
        <is>
          <t>Diretoria</t>
        </is>
      </c>
      <c r="G6" s="4" t="inlineStr">
        <is>
          <t>Posto Curitiba</t>
        </is>
      </c>
      <c r="H6" s="4" t="inlineStr">
        <is>
          <t>Curitiba/PR</t>
        </is>
      </c>
      <c r="I6" s="2" t="inlineStr">
        <is>
          <t>Gasolina</t>
        </is>
      </c>
      <c r="J6" s="5" t="n">
        <v>23120</v>
      </c>
      <c r="K6" s="5" t="n">
        <v>23530</v>
      </c>
      <c r="L6" s="6">
        <f>IF($A6="","",IFERROR($K6-$J6,0))</f>
        <v/>
      </c>
      <c r="M6" s="5" t="n">
        <v>55</v>
      </c>
      <c r="N6" s="7" t="n">
        <v>7.49</v>
      </c>
      <c r="O6" s="8">
        <f>IF($A6="","",IFERROR($M6*$N6,0))</f>
        <v/>
      </c>
      <c r="P6" s="6">
        <f>IF($A6="","",IFERROR($L6/$M6,0))</f>
        <v/>
      </c>
      <c r="Q6" s="2" t="inlineStr">
        <is>
          <t>Cartão corporativo</t>
        </is>
      </c>
      <c r="R6" s="2" t="inlineStr">
        <is>
          <t>NFe-2026-000105</t>
        </is>
      </c>
      <c r="S6" s="9" t="inlineStr">
        <is>
          <t>Viagem intermunicipal.</t>
        </is>
      </c>
      <c r="T6" s="10">
        <f>IF($A6="","",IF($P6&lt;6,"Atenção","Normal"))</f>
        <v/>
      </c>
    </row>
    <row r="7">
      <c r="A7" s="2" t="n">
        <v>6</v>
      </c>
      <c r="B7" s="35" t="n">
        <v>46038</v>
      </c>
      <c r="C7" s="4" t="inlineStr">
        <is>
          <t>Fiat Strada</t>
        </is>
      </c>
      <c r="D7" s="2" t="inlineStr">
        <is>
          <t>KLP9F18</t>
        </is>
      </c>
      <c r="E7" s="4" t="inlineStr">
        <is>
          <t>Juliana Costa</t>
        </is>
      </c>
      <c r="F7" s="4" t="inlineStr">
        <is>
          <t>Logística</t>
        </is>
      </c>
      <c r="G7" s="4" t="inlineStr">
        <is>
          <t>Posto Sul</t>
        </is>
      </c>
      <c r="H7" s="4" t="inlineStr">
        <is>
          <t>Porto Alegre/RS</t>
        </is>
      </c>
      <c r="I7" s="2" t="inlineStr">
        <is>
          <t>Etanol</t>
        </is>
      </c>
      <c r="J7" s="5" t="n">
        <v>41500</v>
      </c>
      <c r="K7" s="5" t="n">
        <v>41730</v>
      </c>
      <c r="L7" s="6">
        <f>IF($A7="","",IFERROR($K7-$J7,0))</f>
        <v/>
      </c>
      <c r="M7" s="5" t="n">
        <v>42</v>
      </c>
      <c r="N7" s="7" t="n">
        <v>5.99</v>
      </c>
      <c r="O7" s="8">
        <f>IF($A7="","",IFERROR($M7*$N7,0))</f>
        <v/>
      </c>
      <c r="P7" s="6">
        <f>IF($A7="","",IFERROR($L7/$M7,0))</f>
        <v/>
      </c>
      <c r="Q7" s="2" t="inlineStr">
        <is>
          <t>Dinheiro</t>
        </is>
      </c>
      <c r="R7" s="2" t="inlineStr">
        <is>
          <t>NFe-2026-000106</t>
        </is>
      </c>
      <c r="S7" s="9" t="inlineStr">
        <is>
          <t>Consumo abaixo da referência.</t>
        </is>
      </c>
      <c r="T7" s="10">
        <f>IF($A7="","",IF($P7&lt;6,"Atenção","Normal"))</f>
        <v/>
      </c>
    </row>
    <row r="8">
      <c r="A8" s="2" t="n">
        <v>7</v>
      </c>
      <c r="B8" s="35" t="n">
        <v>46042</v>
      </c>
      <c r="C8" s="4" t="inlineStr">
        <is>
          <t>Renault Master</t>
        </is>
      </c>
      <c r="D8" s="2" t="inlineStr">
        <is>
          <t>ZXC4G71</t>
        </is>
      </c>
      <c r="E8" s="4" t="inlineStr">
        <is>
          <t>Rafael Almeida</t>
        </is>
      </c>
      <c r="F8" s="4" t="inlineStr">
        <is>
          <t>Operações</t>
        </is>
      </c>
      <c r="G8" s="4" t="inlineStr">
        <is>
          <t>Posto Bahia Norte</t>
        </is>
      </c>
      <c r="H8" s="4" t="inlineStr">
        <is>
          <t>Salvador/BA</t>
        </is>
      </c>
      <c r="I8" s="2" t="inlineStr">
        <is>
          <t>Diesel</t>
        </is>
      </c>
      <c r="J8" s="5" t="n">
        <v>98340</v>
      </c>
      <c r="K8" s="5" t="n">
        <v>98800</v>
      </c>
      <c r="L8" s="6">
        <f>IF($A8="","",IFERROR($K8-$J8,0))</f>
        <v/>
      </c>
      <c r="M8" s="5" t="n">
        <v>75</v>
      </c>
      <c r="N8" s="7" t="n">
        <v>6.39</v>
      </c>
      <c r="O8" s="8">
        <f>IF($A8="","",IFERROR($M8*$N8,0))</f>
        <v/>
      </c>
      <c r="P8" s="6">
        <f>IF($A8="","",IFERROR($L8/$M8,0))</f>
        <v/>
      </c>
      <c r="Q8" s="2" t="inlineStr">
        <is>
          <t>Boleto</t>
        </is>
      </c>
      <c r="R8" s="2" t="inlineStr">
        <is>
          <t>NFe-2026-000107</t>
        </is>
      </c>
      <c r="S8" s="9" t="inlineStr">
        <is>
          <t>Transporte de materiais.</t>
        </is>
      </c>
      <c r="T8" s="10">
        <f>IF($A8="","",IF($P8&lt;6,"Atenção","Normal"))</f>
        <v/>
      </c>
    </row>
    <row r="9">
      <c r="A9" s="2" t="n">
        <v>8</v>
      </c>
      <c r="B9" s="35" t="n">
        <v>46044</v>
      </c>
      <c r="C9" s="4" t="inlineStr">
        <is>
          <t>Toyota Corolla</t>
        </is>
      </c>
      <c r="D9" s="2" t="inlineStr">
        <is>
          <t>HJK6H92</t>
        </is>
      </c>
      <c r="E9" s="4" t="inlineStr">
        <is>
          <t>Camila Ferreira</t>
        </is>
      </c>
      <c r="F9" s="4" t="inlineStr">
        <is>
          <t>Diretoria</t>
        </is>
      </c>
      <c r="G9" s="4" t="inlineStr">
        <is>
          <t>Posto Brasília Centro</t>
        </is>
      </c>
      <c r="H9" s="4" t="inlineStr">
        <is>
          <t>Brasília/DF</t>
        </is>
      </c>
      <c r="I9" s="2" t="inlineStr">
        <is>
          <t>GNV</t>
        </is>
      </c>
      <c r="J9" s="5" t="n">
        <v>56780</v>
      </c>
      <c r="K9" s="5" t="n">
        <v>57130</v>
      </c>
      <c r="L9" s="6">
        <f>IF($A9="","",IFERROR($K9-$J9,0))</f>
        <v/>
      </c>
      <c r="M9" s="5" t="n">
        <v>30</v>
      </c>
      <c r="N9" s="7" t="n">
        <v>5.89</v>
      </c>
      <c r="O9" s="8">
        <f>IF($A9="","",IFERROR($M9*$N9,0))</f>
        <v/>
      </c>
      <c r="P9" s="6">
        <f>IF($A9="","",IFERROR($L9/$M9,0))</f>
        <v/>
      </c>
      <c r="Q9" s="2" t="inlineStr">
        <is>
          <t>Pix</t>
        </is>
      </c>
      <c r="R9" s="2" t="inlineStr">
        <is>
          <t>NFe-2026-000108</t>
        </is>
      </c>
      <c r="S9" s="9" t="inlineStr">
        <is>
          <t>Abastecimento com GNV.</t>
        </is>
      </c>
      <c r="T9" s="10">
        <f>IF($A9="","",IF($P9&lt;6,"Atenção","Normal"))</f>
        <v/>
      </c>
    </row>
    <row r="10">
      <c r="A10" s="2" t="n">
        <v>9</v>
      </c>
      <c r="B10" s="35" t="n">
        <v>46047</v>
      </c>
      <c r="C10" s="4" t="inlineStr">
        <is>
          <t>Chevrolet Onix</t>
        </is>
      </c>
      <c r="D10" s="2" t="inlineStr">
        <is>
          <t>ASD1J64</t>
        </is>
      </c>
      <c r="E10" s="4" t="inlineStr">
        <is>
          <t>Lucas Rodrigues</t>
        </is>
      </c>
      <c r="F10" s="4" t="inlineStr">
        <is>
          <t>Vendas</t>
        </is>
      </c>
      <c r="G10" s="4" t="inlineStr">
        <is>
          <t>Posto Paulista</t>
        </is>
      </c>
      <c r="H10" s="4" t="inlineStr">
        <is>
          <t>São Paulo/SP</t>
        </is>
      </c>
      <c r="I10" s="2" t="inlineStr">
        <is>
          <t>Gasolina</t>
        </is>
      </c>
      <c r="J10" s="5" t="n">
        <v>38400</v>
      </c>
      <c r="K10" s="5" t="n">
        <v>38700</v>
      </c>
      <c r="L10" s="6">
        <f>IF($A10="","",IFERROR($K10-$J10,0))</f>
        <v/>
      </c>
      <c r="M10" s="5" t="n">
        <v>46</v>
      </c>
      <c r="N10" s="7" t="n">
        <v>6.69</v>
      </c>
      <c r="O10" s="8">
        <f>IF($A10="","",IFERROR($M10*$N10,0))</f>
        <v/>
      </c>
      <c r="P10" s="6">
        <f>IF($A10="","",IFERROR($L10/$M10,0))</f>
        <v/>
      </c>
      <c r="Q10" s="2" t="inlineStr">
        <is>
          <t>Cartão corporativo</t>
        </is>
      </c>
      <c r="R10" s="2" t="inlineStr">
        <is>
          <t>NFe-2026-000109</t>
        </is>
      </c>
      <c r="S10" s="9" t="inlineStr">
        <is>
          <t>Deslocamento para atendimento.</t>
        </is>
      </c>
      <c r="T10" s="10">
        <f>IF($A10="","",IF($P10&lt;6,"Atenção","Normal"))</f>
        <v/>
      </c>
    </row>
    <row r="11">
      <c r="A11" s="2" t="n">
        <v>10</v>
      </c>
      <c r="B11" s="35" t="n">
        <v>46050</v>
      </c>
      <c r="C11" s="4" t="inlineStr">
        <is>
          <t>Volkswagen Saveiro</t>
        </is>
      </c>
      <c r="D11" s="2" t="inlineStr">
        <is>
          <t>FGH8K37</t>
        </is>
      </c>
      <c r="E11" s="4" t="inlineStr">
        <is>
          <t>Fernanda Lima</t>
        </is>
      </c>
      <c r="F11" s="4" t="inlineStr">
        <is>
          <t>Logística</t>
        </is>
      </c>
      <c r="G11" s="4" t="inlineStr">
        <is>
          <t>Posto Recife Norte</t>
        </is>
      </c>
      <c r="H11" s="4" t="inlineStr">
        <is>
          <t>Recife/PE</t>
        </is>
      </c>
      <c r="I11" s="2" t="inlineStr">
        <is>
          <t>Etanol</t>
        </is>
      </c>
      <c r="J11" s="5" t="n">
        <v>61210</v>
      </c>
      <c r="K11" s="5" t="n">
        <v>61475</v>
      </c>
      <c r="L11" s="6">
        <f>IF($A11="","",IFERROR($K11-$J11,0))</f>
        <v/>
      </c>
      <c r="M11" s="5" t="n">
        <v>40</v>
      </c>
      <c r="N11" s="7" t="n">
        <v>6.09</v>
      </c>
      <c r="O11" s="8">
        <f>IF($A11="","",IFERROR($M11*$N11,0))</f>
        <v/>
      </c>
      <c r="P11" s="6">
        <f>IF($A11="","",IFERROR($L11/$M11,0))</f>
        <v/>
      </c>
      <c r="Q11" s="2" t="inlineStr">
        <is>
          <t>Pix</t>
        </is>
      </c>
      <c r="R11" s="2" t="inlineStr">
        <is>
          <t>NFe-2026-000110</t>
        </is>
      </c>
      <c r="S11" s="9" t="inlineStr">
        <is>
          <t>Rota de distribuição.</t>
        </is>
      </c>
      <c r="T11" s="10">
        <f>IF($A11="","",IF($P11&lt;6,"Atenção","Normal"))</f>
        <v/>
      </c>
    </row>
    <row r="12">
      <c r="A12" s="2" t="n"/>
      <c r="B12" s="35" t="n"/>
      <c r="C12" s="4" t="n"/>
      <c r="D12" s="2" t="n"/>
      <c r="E12" s="4" t="n"/>
      <c r="F12" s="4" t="n"/>
      <c r="G12" s="4" t="n"/>
      <c r="H12" s="4" t="n"/>
      <c r="I12" s="2" t="n"/>
      <c r="J12" s="5" t="n"/>
      <c r="K12" s="5" t="n"/>
      <c r="L12" s="6">
        <f>IF($A12="","",IFERROR($K12-$J12,0))</f>
        <v/>
      </c>
      <c r="M12" s="5" t="n"/>
      <c r="N12" s="7" t="n"/>
      <c r="O12" s="8">
        <f>IF($A12="","",IFERROR($M12*$N12,0))</f>
        <v/>
      </c>
      <c r="P12" s="6">
        <f>IF($A12="","",IFERROR($L12/$M12,0))</f>
        <v/>
      </c>
      <c r="Q12" s="2" t="n"/>
      <c r="R12" s="2" t="n"/>
      <c r="S12" s="9" t="n"/>
      <c r="T12" s="10">
        <f>IF($A12="","",IF($P12&lt;6,"Atenção","Normal"))</f>
        <v/>
      </c>
    </row>
    <row r="13">
      <c r="A13" s="2" t="n"/>
      <c r="B13" s="35" t="n"/>
      <c r="C13" s="4" t="n"/>
      <c r="D13" s="2" t="n"/>
      <c r="E13" s="4" t="n"/>
      <c r="F13" s="4" t="n"/>
      <c r="G13" s="4" t="n"/>
      <c r="H13" s="4" t="n"/>
      <c r="I13" s="2" t="n"/>
      <c r="J13" s="5" t="n"/>
      <c r="K13" s="5" t="n"/>
      <c r="L13" s="6">
        <f>IF($A13="","",IFERROR($K13-$J13,0))</f>
        <v/>
      </c>
      <c r="M13" s="5" t="n"/>
      <c r="N13" s="7" t="n"/>
      <c r="O13" s="8">
        <f>IF($A13="","",IFERROR($M13*$N13,0))</f>
        <v/>
      </c>
      <c r="P13" s="6">
        <f>IF($A13="","",IFERROR($L13/$M13,0))</f>
        <v/>
      </c>
      <c r="Q13" s="2" t="n"/>
      <c r="R13" s="2" t="n"/>
      <c r="S13" s="9" t="n"/>
      <c r="T13" s="10">
        <f>IF($A13="","",IF($P13&lt;6,"Atenção","Normal"))</f>
        <v/>
      </c>
    </row>
    <row r="14">
      <c r="A14" s="2" t="n"/>
      <c r="B14" s="35" t="n"/>
      <c r="C14" s="4" t="n"/>
      <c r="D14" s="2" t="n"/>
      <c r="E14" s="4" t="n"/>
      <c r="F14" s="4" t="n"/>
      <c r="G14" s="4" t="n"/>
      <c r="H14" s="4" t="n"/>
      <c r="I14" s="2" t="n"/>
      <c r="J14" s="5" t="n"/>
      <c r="K14" s="5" t="n"/>
      <c r="L14" s="6">
        <f>IF($A14="","",IFERROR($K14-$J14,0))</f>
        <v/>
      </c>
      <c r="M14" s="5" t="n"/>
      <c r="N14" s="7" t="n"/>
      <c r="O14" s="8">
        <f>IF($A14="","",IFERROR($M14*$N14,0))</f>
        <v/>
      </c>
      <c r="P14" s="6">
        <f>IF($A14="","",IFERROR($L14/$M14,0))</f>
        <v/>
      </c>
      <c r="Q14" s="2" t="n"/>
      <c r="R14" s="2" t="n"/>
      <c r="S14" s="9" t="n"/>
      <c r="T14" s="10">
        <f>IF($A14="","",IF($P14&lt;6,"Atenção","Normal"))</f>
        <v/>
      </c>
    </row>
    <row r="15">
      <c r="A15" s="2" t="n"/>
      <c r="B15" s="35" t="n"/>
      <c r="C15" s="4" t="n"/>
      <c r="D15" s="2" t="n"/>
      <c r="E15" s="4" t="n"/>
      <c r="F15" s="4" t="n"/>
      <c r="G15" s="4" t="n"/>
      <c r="H15" s="4" t="n"/>
      <c r="I15" s="2" t="n"/>
      <c r="J15" s="5" t="n"/>
      <c r="K15" s="5" t="n"/>
      <c r="L15" s="6">
        <f>IF($A15="","",IFERROR($K15-$J15,0))</f>
        <v/>
      </c>
      <c r="M15" s="5" t="n"/>
      <c r="N15" s="7" t="n"/>
      <c r="O15" s="8">
        <f>IF($A15="","",IFERROR($M15*$N15,0))</f>
        <v/>
      </c>
      <c r="P15" s="6">
        <f>IF($A15="","",IFERROR($L15/$M15,0))</f>
        <v/>
      </c>
      <c r="Q15" s="2" t="n"/>
      <c r="R15" s="2" t="n"/>
      <c r="S15" s="9" t="n"/>
      <c r="T15" s="10">
        <f>IF($A15="","",IF($P15&lt;6,"Atenção","Normal"))</f>
        <v/>
      </c>
    </row>
    <row r="16">
      <c r="A16" s="2" t="n"/>
      <c r="B16" s="35" t="n"/>
      <c r="C16" s="4" t="n"/>
      <c r="D16" s="2" t="n"/>
      <c r="E16" s="4" t="n"/>
      <c r="F16" s="4" t="n"/>
      <c r="G16" s="4" t="n"/>
      <c r="H16" s="4" t="n"/>
      <c r="I16" s="2" t="n"/>
      <c r="J16" s="5" t="n"/>
      <c r="K16" s="5" t="n"/>
      <c r="L16" s="6">
        <f>IF($A16="","",IFERROR($K16-$J16,0))</f>
        <v/>
      </c>
      <c r="M16" s="5" t="n"/>
      <c r="N16" s="7" t="n"/>
      <c r="O16" s="8">
        <f>IF($A16="","",IFERROR($M16*$N16,0))</f>
        <v/>
      </c>
      <c r="P16" s="6">
        <f>IF($A16="","",IFERROR($L16/$M16,0))</f>
        <v/>
      </c>
      <c r="Q16" s="2" t="n"/>
      <c r="R16" s="2" t="n"/>
      <c r="S16" s="9" t="n"/>
      <c r="T16" s="10">
        <f>IF($A16="","",IF($P16&lt;6,"Atenção","Normal"))</f>
        <v/>
      </c>
    </row>
    <row r="17">
      <c r="A17" s="2" t="n"/>
      <c r="B17" s="35" t="n"/>
      <c r="C17" s="4" t="n"/>
      <c r="D17" s="2" t="n"/>
      <c r="E17" s="4" t="n"/>
      <c r="F17" s="4" t="n"/>
      <c r="G17" s="4" t="n"/>
      <c r="H17" s="4" t="n"/>
      <c r="I17" s="2" t="n"/>
      <c r="J17" s="5" t="n"/>
      <c r="K17" s="5" t="n"/>
      <c r="L17" s="6">
        <f>IF($A17="","",IFERROR($K17-$J17,0))</f>
        <v/>
      </c>
      <c r="M17" s="5" t="n"/>
      <c r="N17" s="7" t="n"/>
      <c r="O17" s="8">
        <f>IF($A17="","",IFERROR($M17*$N17,0))</f>
        <v/>
      </c>
      <c r="P17" s="6">
        <f>IF($A17="","",IFERROR($L17/$M17,0))</f>
        <v/>
      </c>
      <c r="Q17" s="2" t="n"/>
      <c r="R17" s="2" t="n"/>
      <c r="S17" s="9" t="n"/>
      <c r="T17" s="10">
        <f>IF($A17="","",IF($P17&lt;6,"Atenção","Normal"))</f>
        <v/>
      </c>
    </row>
    <row r="18">
      <c r="A18" s="2" t="n"/>
      <c r="B18" s="35" t="n"/>
      <c r="C18" s="4" t="n"/>
      <c r="D18" s="2" t="n"/>
      <c r="E18" s="4" t="n"/>
      <c r="F18" s="4" t="n"/>
      <c r="G18" s="4" t="n"/>
      <c r="H18" s="4" t="n"/>
      <c r="I18" s="2" t="n"/>
      <c r="J18" s="5" t="n"/>
      <c r="K18" s="5" t="n"/>
      <c r="L18" s="6">
        <f>IF($A18="","",IFERROR($K18-$J18,0))</f>
        <v/>
      </c>
      <c r="M18" s="5" t="n"/>
      <c r="N18" s="7" t="n"/>
      <c r="O18" s="8">
        <f>IF($A18="","",IFERROR($M18*$N18,0))</f>
        <v/>
      </c>
      <c r="P18" s="6">
        <f>IF($A18="","",IFERROR($L18/$M18,0))</f>
        <v/>
      </c>
      <c r="Q18" s="2" t="n"/>
      <c r="R18" s="2" t="n"/>
      <c r="S18" s="9" t="n"/>
      <c r="T18" s="10">
        <f>IF($A18="","",IF($P18&lt;6,"Atenção","Normal"))</f>
        <v/>
      </c>
    </row>
    <row r="19">
      <c r="A19" s="2" t="n"/>
      <c r="B19" s="35" t="n"/>
      <c r="C19" s="4" t="n"/>
      <c r="D19" s="2" t="n"/>
      <c r="E19" s="4" t="n"/>
      <c r="F19" s="4" t="n"/>
      <c r="G19" s="4" t="n"/>
      <c r="H19" s="4" t="n"/>
      <c r="I19" s="2" t="n"/>
      <c r="J19" s="5" t="n"/>
      <c r="K19" s="5" t="n"/>
      <c r="L19" s="6">
        <f>IF($A19="","",IFERROR($K19-$J19,0))</f>
        <v/>
      </c>
      <c r="M19" s="5" t="n"/>
      <c r="N19" s="7" t="n"/>
      <c r="O19" s="8">
        <f>IF($A19="","",IFERROR($M19*$N19,0))</f>
        <v/>
      </c>
      <c r="P19" s="6">
        <f>IF($A19="","",IFERROR($L19/$M19,0))</f>
        <v/>
      </c>
      <c r="Q19" s="2" t="n"/>
      <c r="R19" s="2" t="n"/>
      <c r="S19" s="9" t="n"/>
      <c r="T19" s="10">
        <f>IF($A19="","",IF($P19&lt;6,"Atenção","Normal"))</f>
        <v/>
      </c>
    </row>
    <row r="20">
      <c r="A20" s="2" t="n"/>
      <c r="B20" s="35" t="n"/>
      <c r="C20" s="4" t="n"/>
      <c r="D20" s="2" t="n"/>
      <c r="E20" s="4" t="n"/>
      <c r="F20" s="4" t="n"/>
      <c r="G20" s="4" t="n"/>
      <c r="H20" s="4" t="n"/>
      <c r="I20" s="2" t="n"/>
      <c r="J20" s="5" t="n"/>
      <c r="K20" s="5" t="n"/>
      <c r="L20" s="6">
        <f>IF($A20="","",IFERROR($K20-$J20,0))</f>
        <v/>
      </c>
      <c r="M20" s="5" t="n"/>
      <c r="N20" s="7" t="n"/>
      <c r="O20" s="8">
        <f>IF($A20="","",IFERROR($M20*$N20,0))</f>
        <v/>
      </c>
      <c r="P20" s="6">
        <f>IF($A20="","",IFERROR($L20/$M20,0))</f>
        <v/>
      </c>
      <c r="Q20" s="2" t="n"/>
      <c r="R20" s="2" t="n"/>
      <c r="S20" s="9" t="n"/>
      <c r="T20" s="10">
        <f>IF($A20="","",IF($P20&lt;6,"Atenção","Normal"))</f>
        <v/>
      </c>
    </row>
    <row r="21">
      <c r="A21" s="2" t="n"/>
      <c r="B21" s="35" t="n"/>
      <c r="C21" s="4" t="n"/>
      <c r="D21" s="2" t="n"/>
      <c r="E21" s="4" t="n"/>
      <c r="F21" s="4" t="n"/>
      <c r="G21" s="4" t="n"/>
      <c r="H21" s="4" t="n"/>
      <c r="I21" s="2" t="n"/>
      <c r="J21" s="5" t="n"/>
      <c r="K21" s="5" t="n"/>
      <c r="L21" s="6">
        <f>IF($A21="","",IFERROR($K21-$J21,0))</f>
        <v/>
      </c>
      <c r="M21" s="5" t="n"/>
      <c r="N21" s="7" t="n"/>
      <c r="O21" s="8">
        <f>IF($A21="","",IFERROR($M21*$N21,0))</f>
        <v/>
      </c>
      <c r="P21" s="6">
        <f>IF($A21="","",IFERROR($L21/$M21,0))</f>
        <v/>
      </c>
      <c r="Q21" s="2" t="n"/>
      <c r="R21" s="2" t="n"/>
      <c r="S21" s="9" t="n"/>
      <c r="T21" s="10">
        <f>IF($A21="","",IF($P21&lt;6,"Atenção","Normal"))</f>
        <v/>
      </c>
    </row>
    <row r="22">
      <c r="A22" s="2" t="n"/>
      <c r="B22" s="35" t="n"/>
      <c r="C22" s="4" t="n"/>
      <c r="D22" s="2" t="n"/>
      <c r="E22" s="4" t="n"/>
      <c r="F22" s="4" t="n"/>
      <c r="G22" s="4" t="n"/>
      <c r="H22" s="4" t="n"/>
      <c r="I22" s="2" t="n"/>
      <c r="J22" s="5" t="n"/>
      <c r="K22" s="5" t="n"/>
      <c r="L22" s="6">
        <f>IF($A22="","",IFERROR($K22-$J22,0))</f>
        <v/>
      </c>
      <c r="M22" s="5" t="n"/>
      <c r="N22" s="7" t="n"/>
      <c r="O22" s="8">
        <f>IF($A22="","",IFERROR($M22*$N22,0))</f>
        <v/>
      </c>
      <c r="P22" s="6">
        <f>IF($A22="","",IFERROR($L22/$M22,0))</f>
        <v/>
      </c>
      <c r="Q22" s="2" t="n"/>
      <c r="R22" s="2" t="n"/>
      <c r="S22" s="9" t="n"/>
      <c r="T22" s="10">
        <f>IF($A22="","",IF($P22&lt;6,"Atenção","Normal"))</f>
        <v/>
      </c>
    </row>
    <row r="23">
      <c r="A23" s="2" t="n"/>
      <c r="B23" s="35" t="n"/>
      <c r="C23" s="4" t="n"/>
      <c r="D23" s="2" t="n"/>
      <c r="E23" s="4" t="n"/>
      <c r="F23" s="4" t="n"/>
      <c r="G23" s="4" t="n"/>
      <c r="H23" s="4" t="n"/>
      <c r="I23" s="2" t="n"/>
      <c r="J23" s="5" t="n"/>
      <c r="K23" s="5" t="n"/>
      <c r="L23" s="6">
        <f>IF($A23="","",IFERROR($K23-$J23,0))</f>
        <v/>
      </c>
      <c r="M23" s="5" t="n"/>
      <c r="N23" s="7" t="n"/>
      <c r="O23" s="8">
        <f>IF($A23="","",IFERROR($M23*$N23,0))</f>
        <v/>
      </c>
      <c r="P23" s="6">
        <f>IF($A23="","",IFERROR($L23/$M23,0))</f>
        <v/>
      </c>
      <c r="Q23" s="2" t="n"/>
      <c r="R23" s="2" t="n"/>
      <c r="S23" s="9" t="n"/>
      <c r="T23" s="10">
        <f>IF($A23="","",IF($P23&lt;6,"Atenção","Normal"))</f>
        <v/>
      </c>
    </row>
    <row r="24">
      <c r="A24" s="2" t="n"/>
      <c r="B24" s="35" t="n"/>
      <c r="C24" s="4" t="n"/>
      <c r="D24" s="2" t="n"/>
      <c r="E24" s="4" t="n"/>
      <c r="F24" s="4" t="n"/>
      <c r="G24" s="4" t="n"/>
      <c r="H24" s="4" t="n"/>
      <c r="I24" s="2" t="n"/>
      <c r="J24" s="5" t="n"/>
      <c r="K24" s="5" t="n"/>
      <c r="L24" s="6">
        <f>IF($A24="","",IFERROR($K24-$J24,0))</f>
        <v/>
      </c>
      <c r="M24" s="5" t="n"/>
      <c r="N24" s="7" t="n"/>
      <c r="O24" s="8">
        <f>IF($A24="","",IFERROR($M24*$N24,0))</f>
        <v/>
      </c>
      <c r="P24" s="6">
        <f>IF($A24="","",IFERROR($L24/$M24,0))</f>
        <v/>
      </c>
      <c r="Q24" s="2" t="n"/>
      <c r="R24" s="2" t="n"/>
      <c r="S24" s="9" t="n"/>
      <c r="T24" s="10">
        <f>IF($A24="","",IF($P24&lt;6,"Atenção","Normal"))</f>
        <v/>
      </c>
    </row>
    <row r="25">
      <c r="A25" s="2" t="n"/>
      <c r="B25" s="35" t="n"/>
      <c r="C25" s="4" t="n"/>
      <c r="D25" s="2" t="n"/>
      <c r="E25" s="4" t="n"/>
      <c r="F25" s="4" t="n"/>
      <c r="G25" s="4" t="n"/>
      <c r="H25" s="4" t="n"/>
      <c r="I25" s="2" t="n"/>
      <c r="J25" s="5" t="n"/>
      <c r="K25" s="5" t="n"/>
      <c r="L25" s="6">
        <f>IF($A25="","",IFERROR($K25-$J25,0))</f>
        <v/>
      </c>
      <c r="M25" s="5" t="n"/>
      <c r="N25" s="7" t="n"/>
      <c r="O25" s="8">
        <f>IF($A25="","",IFERROR($M25*$N25,0))</f>
        <v/>
      </c>
      <c r="P25" s="6">
        <f>IF($A25="","",IFERROR($L25/$M25,0))</f>
        <v/>
      </c>
      <c r="Q25" s="2" t="n"/>
      <c r="R25" s="2" t="n"/>
      <c r="S25" s="9" t="n"/>
      <c r="T25" s="10">
        <f>IF($A25="","",IF($P25&lt;6,"Atenção","Normal"))</f>
        <v/>
      </c>
    </row>
    <row r="26">
      <c r="A26" s="2" t="n"/>
      <c r="B26" s="35" t="n"/>
      <c r="C26" s="4" t="n"/>
      <c r="D26" s="2" t="n"/>
      <c r="E26" s="4" t="n"/>
      <c r="F26" s="4" t="n"/>
      <c r="G26" s="4" t="n"/>
      <c r="H26" s="4" t="n"/>
      <c r="I26" s="2" t="n"/>
      <c r="J26" s="5" t="n"/>
      <c r="K26" s="5" t="n"/>
      <c r="L26" s="6">
        <f>IF($A26="","",IFERROR($K26-$J26,0))</f>
        <v/>
      </c>
      <c r="M26" s="5" t="n"/>
      <c r="N26" s="7" t="n"/>
      <c r="O26" s="8">
        <f>IF($A26="","",IFERROR($M26*$N26,0))</f>
        <v/>
      </c>
      <c r="P26" s="6">
        <f>IF($A26="","",IFERROR($L26/$M26,0))</f>
        <v/>
      </c>
      <c r="Q26" s="2" t="n"/>
      <c r="R26" s="2" t="n"/>
      <c r="S26" s="9" t="n"/>
      <c r="T26" s="10">
        <f>IF($A26="","",IF($P26&lt;6,"Atenção","Normal"))</f>
        <v/>
      </c>
    </row>
    <row r="27">
      <c r="A27" s="2" t="n"/>
      <c r="B27" s="35" t="n"/>
      <c r="C27" s="4" t="n"/>
      <c r="D27" s="2" t="n"/>
      <c r="E27" s="4" t="n"/>
      <c r="F27" s="4" t="n"/>
      <c r="G27" s="4" t="n"/>
      <c r="H27" s="4" t="n"/>
      <c r="I27" s="2" t="n"/>
      <c r="J27" s="5" t="n"/>
      <c r="K27" s="5" t="n"/>
      <c r="L27" s="6">
        <f>IF($A27="","",IFERROR($K27-$J27,0))</f>
        <v/>
      </c>
      <c r="M27" s="5" t="n"/>
      <c r="N27" s="7" t="n"/>
      <c r="O27" s="8">
        <f>IF($A27="","",IFERROR($M27*$N27,0))</f>
        <v/>
      </c>
      <c r="P27" s="6">
        <f>IF($A27="","",IFERROR($L27/$M27,0))</f>
        <v/>
      </c>
      <c r="Q27" s="2" t="n"/>
      <c r="R27" s="2" t="n"/>
      <c r="S27" s="9" t="n"/>
      <c r="T27" s="10">
        <f>IF($A27="","",IF($P27&lt;6,"Atenção","Normal"))</f>
        <v/>
      </c>
    </row>
    <row r="28">
      <c r="A28" s="2" t="n"/>
      <c r="B28" s="35" t="n"/>
      <c r="C28" s="4" t="n"/>
      <c r="D28" s="2" t="n"/>
      <c r="E28" s="4" t="n"/>
      <c r="F28" s="4" t="n"/>
      <c r="G28" s="4" t="n"/>
      <c r="H28" s="4" t="n"/>
      <c r="I28" s="2" t="n"/>
      <c r="J28" s="5" t="n"/>
      <c r="K28" s="5" t="n"/>
      <c r="L28" s="6">
        <f>IF($A28="","",IFERROR($K28-$J28,0))</f>
        <v/>
      </c>
      <c r="M28" s="5" t="n"/>
      <c r="N28" s="7" t="n"/>
      <c r="O28" s="8">
        <f>IF($A28="","",IFERROR($M28*$N28,0))</f>
        <v/>
      </c>
      <c r="P28" s="6">
        <f>IF($A28="","",IFERROR($L28/$M28,0))</f>
        <v/>
      </c>
      <c r="Q28" s="2" t="n"/>
      <c r="R28" s="2" t="n"/>
      <c r="S28" s="9" t="n"/>
      <c r="T28" s="10">
        <f>IF($A28="","",IF($P28&lt;6,"Atenção","Normal"))</f>
        <v/>
      </c>
    </row>
    <row r="29">
      <c r="A29" s="2" t="n"/>
      <c r="B29" s="35" t="n"/>
      <c r="C29" s="4" t="n"/>
      <c r="D29" s="2" t="n"/>
      <c r="E29" s="4" t="n"/>
      <c r="F29" s="4" t="n"/>
      <c r="G29" s="4" t="n"/>
      <c r="H29" s="4" t="n"/>
      <c r="I29" s="2" t="n"/>
      <c r="J29" s="5" t="n"/>
      <c r="K29" s="5" t="n"/>
      <c r="L29" s="6">
        <f>IF($A29="","",IFERROR($K29-$J29,0))</f>
        <v/>
      </c>
      <c r="M29" s="5" t="n"/>
      <c r="N29" s="7" t="n"/>
      <c r="O29" s="8">
        <f>IF($A29="","",IFERROR($M29*$N29,0))</f>
        <v/>
      </c>
      <c r="P29" s="6">
        <f>IF($A29="","",IFERROR($L29/$M29,0))</f>
        <v/>
      </c>
      <c r="Q29" s="2" t="n"/>
      <c r="R29" s="2" t="n"/>
      <c r="S29" s="9" t="n"/>
      <c r="T29" s="10">
        <f>IF($A29="","",IF($P29&lt;6,"Atenção","Normal"))</f>
        <v/>
      </c>
    </row>
    <row r="30">
      <c r="A30" s="2" t="n"/>
      <c r="B30" s="35" t="n"/>
      <c r="C30" s="4" t="n"/>
      <c r="D30" s="2" t="n"/>
      <c r="E30" s="4" t="n"/>
      <c r="F30" s="4" t="n"/>
      <c r="G30" s="4" t="n"/>
      <c r="H30" s="4" t="n"/>
      <c r="I30" s="2" t="n"/>
      <c r="J30" s="5" t="n"/>
      <c r="K30" s="5" t="n"/>
      <c r="L30" s="6">
        <f>IF($A30="","",IFERROR($K30-$J30,0))</f>
        <v/>
      </c>
      <c r="M30" s="5" t="n"/>
      <c r="N30" s="7" t="n"/>
      <c r="O30" s="8">
        <f>IF($A30="","",IFERROR($M30*$N30,0))</f>
        <v/>
      </c>
      <c r="P30" s="6">
        <f>IF($A30="","",IFERROR($L30/$M30,0))</f>
        <v/>
      </c>
      <c r="Q30" s="2" t="n"/>
      <c r="R30" s="2" t="n"/>
      <c r="S30" s="9" t="n"/>
      <c r="T30" s="10">
        <f>IF($A30="","",IF($P30&lt;6,"Atenção","Normal"))</f>
        <v/>
      </c>
    </row>
    <row r="31">
      <c r="A31" s="2" t="n"/>
      <c r="B31" s="35" t="n"/>
      <c r="C31" s="4" t="n"/>
      <c r="D31" s="2" t="n"/>
      <c r="E31" s="4" t="n"/>
      <c r="F31" s="4" t="n"/>
      <c r="G31" s="4" t="n"/>
      <c r="H31" s="4" t="n"/>
      <c r="I31" s="2" t="n"/>
      <c r="J31" s="5" t="n"/>
      <c r="K31" s="5" t="n"/>
      <c r="L31" s="6">
        <f>IF($A31="","",IFERROR($K31-$J31,0))</f>
        <v/>
      </c>
      <c r="M31" s="5" t="n"/>
      <c r="N31" s="7" t="n"/>
      <c r="O31" s="8">
        <f>IF($A31="","",IFERROR($M31*$N31,0))</f>
        <v/>
      </c>
      <c r="P31" s="6">
        <f>IF($A31="","",IFERROR($L31/$M31,0))</f>
        <v/>
      </c>
      <c r="Q31" s="2" t="n"/>
      <c r="R31" s="2" t="n"/>
      <c r="S31" s="9" t="n"/>
      <c r="T31" s="10">
        <f>IF($A31="","",IF($P31&lt;6,"Atenção","Normal"))</f>
        <v/>
      </c>
    </row>
    <row r="32">
      <c r="A32" s="2" t="n"/>
      <c r="B32" s="35" t="n"/>
      <c r="C32" s="4" t="n"/>
      <c r="D32" s="2" t="n"/>
      <c r="E32" s="4" t="n"/>
      <c r="F32" s="4" t="n"/>
      <c r="G32" s="4" t="n"/>
      <c r="H32" s="4" t="n"/>
      <c r="I32" s="2" t="n"/>
      <c r="J32" s="5" t="n"/>
      <c r="K32" s="5" t="n"/>
      <c r="L32" s="6">
        <f>IF($A32="","",IFERROR($K32-$J32,0))</f>
        <v/>
      </c>
      <c r="M32" s="5" t="n"/>
      <c r="N32" s="7" t="n"/>
      <c r="O32" s="8">
        <f>IF($A32="","",IFERROR($M32*$N32,0))</f>
        <v/>
      </c>
      <c r="P32" s="6">
        <f>IF($A32="","",IFERROR($L32/$M32,0))</f>
        <v/>
      </c>
      <c r="Q32" s="2" t="n"/>
      <c r="R32" s="2" t="n"/>
      <c r="S32" s="9" t="n"/>
      <c r="T32" s="10">
        <f>IF($A32="","",IF($P32&lt;6,"Atenção","Normal"))</f>
        <v/>
      </c>
    </row>
    <row r="33">
      <c r="A33" s="2" t="n"/>
      <c r="B33" s="35" t="n"/>
      <c r="C33" s="4" t="n"/>
      <c r="D33" s="2" t="n"/>
      <c r="E33" s="4" t="n"/>
      <c r="F33" s="4" t="n"/>
      <c r="G33" s="4" t="n"/>
      <c r="H33" s="4" t="n"/>
      <c r="I33" s="2" t="n"/>
      <c r="J33" s="5" t="n"/>
      <c r="K33" s="5" t="n"/>
      <c r="L33" s="6">
        <f>IF($A33="","",IFERROR($K33-$J33,0))</f>
        <v/>
      </c>
      <c r="M33" s="5" t="n"/>
      <c r="N33" s="7" t="n"/>
      <c r="O33" s="8">
        <f>IF($A33="","",IFERROR($M33*$N33,0))</f>
        <v/>
      </c>
      <c r="P33" s="6">
        <f>IF($A33="","",IFERROR($L33/$M33,0))</f>
        <v/>
      </c>
      <c r="Q33" s="2" t="n"/>
      <c r="R33" s="2" t="n"/>
      <c r="S33" s="9" t="n"/>
      <c r="T33" s="10">
        <f>IF($A33="","",IF($P33&lt;6,"Atenção","Normal"))</f>
        <v/>
      </c>
    </row>
    <row r="34">
      <c r="A34" s="2" t="n"/>
      <c r="B34" s="35" t="n"/>
      <c r="C34" s="4" t="n"/>
      <c r="D34" s="2" t="n"/>
      <c r="E34" s="4" t="n"/>
      <c r="F34" s="4" t="n"/>
      <c r="G34" s="4" t="n"/>
      <c r="H34" s="4" t="n"/>
      <c r="I34" s="2" t="n"/>
      <c r="J34" s="5" t="n"/>
      <c r="K34" s="5" t="n"/>
      <c r="L34" s="6">
        <f>IF($A34="","",IFERROR($K34-$J34,0))</f>
        <v/>
      </c>
      <c r="M34" s="5" t="n"/>
      <c r="N34" s="7" t="n"/>
      <c r="O34" s="8">
        <f>IF($A34="","",IFERROR($M34*$N34,0))</f>
        <v/>
      </c>
      <c r="P34" s="6">
        <f>IF($A34="","",IFERROR($L34/$M34,0))</f>
        <v/>
      </c>
      <c r="Q34" s="2" t="n"/>
      <c r="R34" s="2" t="n"/>
      <c r="S34" s="9" t="n"/>
      <c r="T34" s="10">
        <f>IF($A34="","",IF($P34&lt;6,"Atenção","Normal"))</f>
        <v/>
      </c>
    </row>
    <row r="35">
      <c r="A35" s="2" t="n"/>
      <c r="B35" s="35" t="n"/>
      <c r="C35" s="4" t="n"/>
      <c r="D35" s="2" t="n"/>
      <c r="E35" s="4" t="n"/>
      <c r="F35" s="4" t="n"/>
      <c r="G35" s="4" t="n"/>
      <c r="H35" s="4" t="n"/>
      <c r="I35" s="2" t="n"/>
      <c r="J35" s="5" t="n"/>
      <c r="K35" s="5" t="n"/>
      <c r="L35" s="6">
        <f>IF($A35="","",IFERROR($K35-$J35,0))</f>
        <v/>
      </c>
      <c r="M35" s="5" t="n"/>
      <c r="N35" s="7" t="n"/>
      <c r="O35" s="8">
        <f>IF($A35="","",IFERROR($M35*$N35,0))</f>
        <v/>
      </c>
      <c r="P35" s="6">
        <f>IF($A35="","",IFERROR($L35/$M35,0))</f>
        <v/>
      </c>
      <c r="Q35" s="2" t="n"/>
      <c r="R35" s="2" t="n"/>
      <c r="S35" s="9" t="n"/>
      <c r="T35" s="10">
        <f>IF($A35="","",IF($P35&lt;6,"Atenção","Normal"))</f>
        <v/>
      </c>
    </row>
    <row r="36">
      <c r="A36" s="2" t="n"/>
      <c r="B36" s="35" t="n"/>
      <c r="C36" s="4" t="n"/>
      <c r="D36" s="2" t="n"/>
      <c r="E36" s="4" t="n"/>
      <c r="F36" s="4" t="n"/>
      <c r="G36" s="4" t="n"/>
      <c r="H36" s="4" t="n"/>
      <c r="I36" s="2" t="n"/>
      <c r="J36" s="5" t="n"/>
      <c r="K36" s="5" t="n"/>
      <c r="L36" s="6">
        <f>IF($A36="","",IFERROR($K36-$J36,0))</f>
        <v/>
      </c>
      <c r="M36" s="5" t="n"/>
      <c r="N36" s="7" t="n"/>
      <c r="O36" s="8">
        <f>IF($A36="","",IFERROR($M36*$N36,0))</f>
        <v/>
      </c>
      <c r="P36" s="6">
        <f>IF($A36="","",IFERROR($L36/$M36,0))</f>
        <v/>
      </c>
      <c r="Q36" s="2" t="n"/>
      <c r="R36" s="2" t="n"/>
      <c r="S36" s="9" t="n"/>
      <c r="T36" s="10">
        <f>IF($A36="","",IF($P36&lt;6,"Atenção","Normal"))</f>
        <v/>
      </c>
    </row>
    <row r="37">
      <c r="A37" s="2" t="n"/>
      <c r="B37" s="35" t="n"/>
      <c r="C37" s="4" t="n"/>
      <c r="D37" s="2" t="n"/>
      <c r="E37" s="4" t="n"/>
      <c r="F37" s="4" t="n"/>
      <c r="G37" s="4" t="n"/>
      <c r="H37" s="4" t="n"/>
      <c r="I37" s="2" t="n"/>
      <c r="J37" s="5" t="n"/>
      <c r="K37" s="5" t="n"/>
      <c r="L37" s="6">
        <f>IF($A37="","",IFERROR($K37-$J37,0))</f>
        <v/>
      </c>
      <c r="M37" s="5" t="n"/>
      <c r="N37" s="7" t="n"/>
      <c r="O37" s="8">
        <f>IF($A37="","",IFERROR($M37*$N37,0))</f>
        <v/>
      </c>
      <c r="P37" s="6">
        <f>IF($A37="","",IFERROR($L37/$M37,0))</f>
        <v/>
      </c>
      <c r="Q37" s="2" t="n"/>
      <c r="R37" s="2" t="n"/>
      <c r="S37" s="9" t="n"/>
      <c r="T37" s="10">
        <f>IF($A37="","",IF($P37&lt;6,"Atenção","Normal"))</f>
        <v/>
      </c>
    </row>
    <row r="38">
      <c r="A38" s="2" t="n"/>
      <c r="B38" s="35" t="n"/>
      <c r="C38" s="4" t="n"/>
      <c r="D38" s="2" t="n"/>
      <c r="E38" s="4" t="n"/>
      <c r="F38" s="4" t="n"/>
      <c r="G38" s="4" t="n"/>
      <c r="H38" s="4" t="n"/>
      <c r="I38" s="2" t="n"/>
      <c r="J38" s="5" t="n"/>
      <c r="K38" s="5" t="n"/>
      <c r="L38" s="6">
        <f>IF($A38="","",IFERROR($K38-$J38,0))</f>
        <v/>
      </c>
      <c r="M38" s="5" t="n"/>
      <c r="N38" s="7" t="n"/>
      <c r="O38" s="8">
        <f>IF($A38="","",IFERROR($M38*$N38,0))</f>
        <v/>
      </c>
      <c r="P38" s="6">
        <f>IF($A38="","",IFERROR($L38/$M38,0))</f>
        <v/>
      </c>
      <c r="Q38" s="2" t="n"/>
      <c r="R38" s="2" t="n"/>
      <c r="S38" s="9" t="n"/>
      <c r="T38" s="10">
        <f>IF($A38="","",IF($P38&lt;6,"Atenção","Normal"))</f>
        <v/>
      </c>
    </row>
    <row r="39">
      <c r="A39" s="2" t="n"/>
      <c r="B39" s="35" t="n"/>
      <c r="C39" s="4" t="n"/>
      <c r="D39" s="2" t="n"/>
      <c r="E39" s="4" t="n"/>
      <c r="F39" s="4" t="n"/>
      <c r="G39" s="4" t="n"/>
      <c r="H39" s="4" t="n"/>
      <c r="I39" s="2" t="n"/>
      <c r="J39" s="5" t="n"/>
      <c r="K39" s="5" t="n"/>
      <c r="L39" s="6">
        <f>IF($A39="","",IFERROR($K39-$J39,0))</f>
        <v/>
      </c>
      <c r="M39" s="5" t="n"/>
      <c r="N39" s="7" t="n"/>
      <c r="O39" s="8">
        <f>IF($A39="","",IFERROR($M39*$N39,0))</f>
        <v/>
      </c>
      <c r="P39" s="6">
        <f>IF($A39="","",IFERROR($L39/$M39,0))</f>
        <v/>
      </c>
      <c r="Q39" s="2" t="n"/>
      <c r="R39" s="2" t="n"/>
      <c r="S39" s="9" t="n"/>
      <c r="T39" s="10">
        <f>IF($A39="","",IF($P39&lt;6,"Atenção","Normal"))</f>
        <v/>
      </c>
    </row>
    <row r="40">
      <c r="A40" s="2" t="n"/>
      <c r="B40" s="35" t="n"/>
      <c r="C40" s="4" t="n"/>
      <c r="D40" s="2" t="n"/>
      <c r="E40" s="4" t="n"/>
      <c r="F40" s="4" t="n"/>
      <c r="G40" s="4" t="n"/>
      <c r="H40" s="4" t="n"/>
      <c r="I40" s="2" t="n"/>
      <c r="J40" s="5" t="n"/>
      <c r="K40" s="5" t="n"/>
      <c r="L40" s="6">
        <f>IF($A40="","",IFERROR($K40-$J40,0))</f>
        <v/>
      </c>
      <c r="M40" s="5" t="n"/>
      <c r="N40" s="7" t="n"/>
      <c r="O40" s="8">
        <f>IF($A40="","",IFERROR($M40*$N40,0))</f>
        <v/>
      </c>
      <c r="P40" s="6">
        <f>IF($A40="","",IFERROR($L40/$M40,0))</f>
        <v/>
      </c>
      <c r="Q40" s="2" t="n"/>
      <c r="R40" s="2" t="n"/>
      <c r="S40" s="9" t="n"/>
      <c r="T40" s="10">
        <f>IF($A40="","",IF($P40&lt;6,"Atenção","Normal"))</f>
        <v/>
      </c>
    </row>
    <row r="41">
      <c r="A41" s="2" t="n"/>
      <c r="B41" s="35" t="n"/>
      <c r="C41" s="4" t="n"/>
      <c r="D41" s="2" t="n"/>
      <c r="E41" s="4" t="n"/>
      <c r="F41" s="4" t="n"/>
      <c r="G41" s="4" t="n"/>
      <c r="H41" s="4" t="n"/>
      <c r="I41" s="2" t="n"/>
      <c r="J41" s="5" t="n"/>
      <c r="K41" s="5" t="n"/>
      <c r="L41" s="6">
        <f>IF($A41="","",IFERROR($K41-$J41,0))</f>
        <v/>
      </c>
      <c r="M41" s="5" t="n"/>
      <c r="N41" s="7" t="n"/>
      <c r="O41" s="8">
        <f>IF($A41="","",IFERROR($M41*$N41,0))</f>
        <v/>
      </c>
      <c r="P41" s="6">
        <f>IF($A41="","",IFERROR($L41/$M41,0))</f>
        <v/>
      </c>
      <c r="Q41" s="2" t="n"/>
      <c r="R41" s="2" t="n"/>
      <c r="S41" s="9" t="n"/>
      <c r="T41" s="10">
        <f>IF($A41="","",IF($P41&lt;6,"Atenção","Normal"))</f>
        <v/>
      </c>
    </row>
    <row r="42">
      <c r="A42" s="2" t="n"/>
      <c r="B42" s="35" t="n"/>
      <c r="C42" s="4" t="n"/>
      <c r="D42" s="2" t="n"/>
      <c r="E42" s="4" t="n"/>
      <c r="F42" s="4" t="n"/>
      <c r="G42" s="4" t="n"/>
      <c r="H42" s="4" t="n"/>
      <c r="I42" s="2" t="n"/>
      <c r="J42" s="5" t="n"/>
      <c r="K42" s="5" t="n"/>
      <c r="L42" s="6">
        <f>IF($A42="","",IFERROR($K42-$J42,0))</f>
        <v/>
      </c>
      <c r="M42" s="5" t="n"/>
      <c r="N42" s="7" t="n"/>
      <c r="O42" s="8">
        <f>IF($A42="","",IFERROR($M42*$N42,0))</f>
        <v/>
      </c>
      <c r="P42" s="6">
        <f>IF($A42="","",IFERROR($L42/$M42,0))</f>
        <v/>
      </c>
      <c r="Q42" s="2" t="n"/>
      <c r="R42" s="2" t="n"/>
      <c r="S42" s="9" t="n"/>
      <c r="T42" s="10">
        <f>IF($A42="","",IF($P42&lt;6,"Atenção","Normal"))</f>
        <v/>
      </c>
    </row>
    <row r="43">
      <c r="A43" s="2" t="n"/>
      <c r="B43" s="35" t="n"/>
      <c r="C43" s="4" t="n"/>
      <c r="D43" s="2" t="n"/>
      <c r="E43" s="4" t="n"/>
      <c r="F43" s="4" t="n"/>
      <c r="G43" s="4" t="n"/>
      <c r="H43" s="4" t="n"/>
      <c r="I43" s="2" t="n"/>
      <c r="J43" s="5" t="n"/>
      <c r="K43" s="5" t="n"/>
      <c r="L43" s="6">
        <f>IF($A43="","",IFERROR($K43-$J43,0))</f>
        <v/>
      </c>
      <c r="M43" s="5" t="n"/>
      <c r="N43" s="7" t="n"/>
      <c r="O43" s="8">
        <f>IF($A43="","",IFERROR($M43*$N43,0))</f>
        <v/>
      </c>
      <c r="P43" s="6">
        <f>IF($A43="","",IFERROR($L43/$M43,0))</f>
        <v/>
      </c>
      <c r="Q43" s="2" t="n"/>
      <c r="R43" s="2" t="n"/>
      <c r="S43" s="9" t="n"/>
      <c r="T43" s="10">
        <f>IF($A43="","",IF($P43&lt;6,"Atenção","Normal"))</f>
        <v/>
      </c>
    </row>
    <row r="44">
      <c r="A44" s="2" t="n"/>
      <c r="B44" s="35" t="n"/>
      <c r="C44" s="4" t="n"/>
      <c r="D44" s="2" t="n"/>
      <c r="E44" s="4" t="n"/>
      <c r="F44" s="4" t="n"/>
      <c r="G44" s="4" t="n"/>
      <c r="H44" s="4" t="n"/>
      <c r="I44" s="2" t="n"/>
      <c r="J44" s="5" t="n"/>
      <c r="K44" s="5" t="n"/>
      <c r="L44" s="6">
        <f>IF($A44="","",IFERROR($K44-$J44,0))</f>
        <v/>
      </c>
      <c r="M44" s="5" t="n"/>
      <c r="N44" s="7" t="n"/>
      <c r="O44" s="8">
        <f>IF($A44="","",IFERROR($M44*$N44,0))</f>
        <v/>
      </c>
      <c r="P44" s="6">
        <f>IF($A44="","",IFERROR($L44/$M44,0))</f>
        <v/>
      </c>
      <c r="Q44" s="2" t="n"/>
      <c r="R44" s="2" t="n"/>
      <c r="S44" s="9" t="n"/>
      <c r="T44" s="10">
        <f>IF($A44="","",IF($P44&lt;6,"Atenção","Normal"))</f>
        <v/>
      </c>
    </row>
    <row r="45">
      <c r="A45" s="2" t="n"/>
      <c r="B45" s="35" t="n"/>
      <c r="C45" s="4" t="n"/>
      <c r="D45" s="2" t="n"/>
      <c r="E45" s="4" t="n"/>
      <c r="F45" s="4" t="n"/>
      <c r="G45" s="4" t="n"/>
      <c r="H45" s="4" t="n"/>
      <c r="I45" s="2" t="n"/>
      <c r="J45" s="5" t="n"/>
      <c r="K45" s="5" t="n"/>
      <c r="L45" s="6">
        <f>IF($A45="","",IFERROR($K45-$J45,0))</f>
        <v/>
      </c>
      <c r="M45" s="5" t="n"/>
      <c r="N45" s="7" t="n"/>
      <c r="O45" s="8">
        <f>IF($A45="","",IFERROR($M45*$N45,0))</f>
        <v/>
      </c>
      <c r="P45" s="6">
        <f>IF($A45="","",IFERROR($L45/$M45,0))</f>
        <v/>
      </c>
      <c r="Q45" s="2" t="n"/>
      <c r="R45" s="2" t="n"/>
      <c r="S45" s="9" t="n"/>
      <c r="T45" s="10">
        <f>IF($A45="","",IF($P45&lt;6,"Atenção","Normal"))</f>
        <v/>
      </c>
    </row>
    <row r="46">
      <c r="A46" s="2" t="n"/>
      <c r="B46" s="35" t="n"/>
      <c r="C46" s="4" t="n"/>
      <c r="D46" s="2" t="n"/>
      <c r="E46" s="4" t="n"/>
      <c r="F46" s="4" t="n"/>
      <c r="G46" s="4" t="n"/>
      <c r="H46" s="4" t="n"/>
      <c r="I46" s="2" t="n"/>
      <c r="J46" s="5" t="n"/>
      <c r="K46" s="5" t="n"/>
      <c r="L46" s="6">
        <f>IF($A46="","",IFERROR($K46-$J46,0))</f>
        <v/>
      </c>
      <c r="M46" s="5" t="n"/>
      <c r="N46" s="7" t="n"/>
      <c r="O46" s="8">
        <f>IF($A46="","",IFERROR($M46*$N46,0))</f>
        <v/>
      </c>
      <c r="P46" s="6">
        <f>IF($A46="","",IFERROR($L46/$M46,0))</f>
        <v/>
      </c>
      <c r="Q46" s="2" t="n"/>
      <c r="R46" s="2" t="n"/>
      <c r="S46" s="9" t="n"/>
      <c r="T46" s="10">
        <f>IF($A46="","",IF($P46&lt;6,"Atenção","Normal"))</f>
        <v/>
      </c>
    </row>
    <row r="47">
      <c r="A47" s="2" t="n"/>
      <c r="B47" s="35" t="n"/>
      <c r="C47" s="4" t="n"/>
      <c r="D47" s="2" t="n"/>
      <c r="E47" s="4" t="n"/>
      <c r="F47" s="4" t="n"/>
      <c r="G47" s="4" t="n"/>
      <c r="H47" s="4" t="n"/>
      <c r="I47" s="2" t="n"/>
      <c r="J47" s="5" t="n"/>
      <c r="K47" s="5" t="n"/>
      <c r="L47" s="6">
        <f>IF($A47="","",IFERROR($K47-$J47,0))</f>
        <v/>
      </c>
      <c r="M47" s="5" t="n"/>
      <c r="N47" s="7" t="n"/>
      <c r="O47" s="8">
        <f>IF($A47="","",IFERROR($M47*$N47,0))</f>
        <v/>
      </c>
      <c r="P47" s="6">
        <f>IF($A47="","",IFERROR($L47/$M47,0))</f>
        <v/>
      </c>
      <c r="Q47" s="2" t="n"/>
      <c r="R47" s="2" t="n"/>
      <c r="S47" s="9" t="n"/>
      <c r="T47" s="10">
        <f>IF($A47="","",IF($P47&lt;6,"Atenção","Normal"))</f>
        <v/>
      </c>
    </row>
    <row r="48">
      <c r="A48" s="2" t="n"/>
      <c r="B48" s="35" t="n"/>
      <c r="C48" s="4" t="n"/>
      <c r="D48" s="2" t="n"/>
      <c r="E48" s="4" t="n"/>
      <c r="F48" s="4" t="n"/>
      <c r="G48" s="4" t="n"/>
      <c r="H48" s="4" t="n"/>
      <c r="I48" s="2" t="n"/>
      <c r="J48" s="5" t="n"/>
      <c r="K48" s="5" t="n"/>
      <c r="L48" s="6">
        <f>IF($A48="","",IFERROR($K48-$J48,0))</f>
        <v/>
      </c>
      <c r="M48" s="5" t="n"/>
      <c r="N48" s="7" t="n"/>
      <c r="O48" s="8">
        <f>IF($A48="","",IFERROR($M48*$N48,0))</f>
        <v/>
      </c>
      <c r="P48" s="6">
        <f>IF($A48="","",IFERROR($L48/$M48,0))</f>
        <v/>
      </c>
      <c r="Q48" s="2" t="n"/>
      <c r="R48" s="2" t="n"/>
      <c r="S48" s="9" t="n"/>
      <c r="T48" s="10">
        <f>IF($A48="","",IF($P48&lt;6,"Atenção","Normal"))</f>
        <v/>
      </c>
    </row>
    <row r="49">
      <c r="A49" s="2" t="n"/>
      <c r="B49" s="35" t="n"/>
      <c r="C49" s="4" t="n"/>
      <c r="D49" s="2" t="n"/>
      <c r="E49" s="4" t="n"/>
      <c r="F49" s="4" t="n"/>
      <c r="G49" s="4" t="n"/>
      <c r="H49" s="4" t="n"/>
      <c r="I49" s="2" t="n"/>
      <c r="J49" s="5" t="n"/>
      <c r="K49" s="5" t="n"/>
      <c r="L49" s="6">
        <f>IF($A49="","",IFERROR($K49-$J49,0))</f>
        <v/>
      </c>
      <c r="M49" s="5" t="n"/>
      <c r="N49" s="7" t="n"/>
      <c r="O49" s="8">
        <f>IF($A49="","",IFERROR($M49*$N49,0))</f>
        <v/>
      </c>
      <c r="P49" s="6">
        <f>IF($A49="","",IFERROR($L49/$M49,0))</f>
        <v/>
      </c>
      <c r="Q49" s="2" t="n"/>
      <c r="R49" s="2" t="n"/>
      <c r="S49" s="9" t="n"/>
      <c r="T49" s="10">
        <f>IF($A49="","",IF($P49&lt;6,"Atenção","Normal"))</f>
        <v/>
      </c>
    </row>
    <row r="50">
      <c r="A50" s="2" t="n"/>
      <c r="B50" s="35" t="n"/>
      <c r="C50" s="4" t="n"/>
      <c r="D50" s="2" t="n"/>
      <c r="E50" s="4" t="n"/>
      <c r="F50" s="4" t="n"/>
      <c r="G50" s="4" t="n"/>
      <c r="H50" s="4" t="n"/>
      <c r="I50" s="2" t="n"/>
      <c r="J50" s="5" t="n"/>
      <c r="K50" s="5" t="n"/>
      <c r="L50" s="6">
        <f>IF($A50="","",IFERROR($K50-$J50,0))</f>
        <v/>
      </c>
      <c r="M50" s="5" t="n"/>
      <c r="N50" s="7" t="n"/>
      <c r="O50" s="8">
        <f>IF($A50="","",IFERROR($M50*$N50,0))</f>
        <v/>
      </c>
      <c r="P50" s="6">
        <f>IF($A50="","",IFERROR($L50/$M50,0))</f>
        <v/>
      </c>
      <c r="Q50" s="2" t="n"/>
      <c r="R50" s="2" t="n"/>
      <c r="S50" s="9" t="n"/>
      <c r="T50" s="10">
        <f>IF($A50="","",IF($P50&lt;6,"Atenção","Normal"))</f>
        <v/>
      </c>
    </row>
    <row r="51">
      <c r="A51" s="2" t="n"/>
      <c r="B51" s="35" t="n"/>
      <c r="C51" s="4" t="n"/>
      <c r="D51" s="2" t="n"/>
      <c r="E51" s="4" t="n"/>
      <c r="F51" s="4" t="n"/>
      <c r="G51" s="4" t="n"/>
      <c r="H51" s="4" t="n"/>
      <c r="I51" s="2" t="n"/>
      <c r="J51" s="5" t="n"/>
      <c r="K51" s="5" t="n"/>
      <c r="L51" s="6">
        <f>IF($A51="","",IFERROR($K51-$J51,0))</f>
        <v/>
      </c>
      <c r="M51" s="5" t="n"/>
      <c r="N51" s="7" t="n"/>
      <c r="O51" s="8">
        <f>IF($A51="","",IFERROR($M51*$N51,0))</f>
        <v/>
      </c>
      <c r="P51" s="6">
        <f>IF($A51="","",IFERROR($L51/$M51,0))</f>
        <v/>
      </c>
      <c r="Q51" s="2" t="n"/>
      <c r="R51" s="2" t="n"/>
      <c r="S51" s="9" t="n"/>
      <c r="T51" s="10">
        <f>IF($A51="","",IF($P51&lt;6,"Atenção","Normal"))</f>
        <v/>
      </c>
    </row>
    <row r="52">
      <c r="A52" s="2" t="n"/>
      <c r="B52" s="35" t="n"/>
      <c r="C52" s="4" t="n"/>
      <c r="D52" s="2" t="n"/>
      <c r="E52" s="4" t="n"/>
      <c r="F52" s="4" t="n"/>
      <c r="G52" s="4" t="n"/>
      <c r="H52" s="4" t="n"/>
      <c r="I52" s="2" t="n"/>
      <c r="J52" s="5" t="n"/>
      <c r="K52" s="5" t="n"/>
      <c r="L52" s="6">
        <f>IF($A52="","",IFERROR($K52-$J52,0))</f>
        <v/>
      </c>
      <c r="M52" s="5" t="n"/>
      <c r="N52" s="7" t="n"/>
      <c r="O52" s="8">
        <f>IF($A52="","",IFERROR($M52*$N52,0))</f>
        <v/>
      </c>
      <c r="P52" s="6">
        <f>IF($A52="","",IFERROR($L52/$M52,0))</f>
        <v/>
      </c>
      <c r="Q52" s="2" t="n"/>
      <c r="R52" s="2" t="n"/>
      <c r="S52" s="9" t="n"/>
      <c r="T52" s="10">
        <f>IF($A52="","",IF($P52&lt;6,"Atenção","Normal"))</f>
        <v/>
      </c>
    </row>
    <row r="53">
      <c r="A53" s="2" t="n"/>
      <c r="B53" s="35" t="n"/>
      <c r="C53" s="4" t="n"/>
      <c r="D53" s="2" t="n"/>
      <c r="E53" s="4" t="n"/>
      <c r="F53" s="4" t="n"/>
      <c r="G53" s="4" t="n"/>
      <c r="H53" s="4" t="n"/>
      <c r="I53" s="2" t="n"/>
      <c r="J53" s="5" t="n"/>
      <c r="K53" s="5" t="n"/>
      <c r="L53" s="6">
        <f>IF($A53="","",IFERROR($K53-$J53,0))</f>
        <v/>
      </c>
      <c r="M53" s="5" t="n"/>
      <c r="N53" s="7" t="n"/>
      <c r="O53" s="8">
        <f>IF($A53="","",IFERROR($M53*$N53,0))</f>
        <v/>
      </c>
      <c r="P53" s="6">
        <f>IF($A53="","",IFERROR($L53/$M53,0))</f>
        <v/>
      </c>
      <c r="Q53" s="2" t="n"/>
      <c r="R53" s="2" t="n"/>
      <c r="S53" s="9" t="n"/>
      <c r="T53" s="10">
        <f>IF($A53="","",IF($P53&lt;6,"Atenção","Normal"))</f>
        <v/>
      </c>
    </row>
    <row r="54">
      <c r="A54" s="2" t="n"/>
      <c r="B54" s="35" t="n"/>
      <c r="C54" s="4" t="n"/>
      <c r="D54" s="2" t="n"/>
      <c r="E54" s="4" t="n"/>
      <c r="F54" s="4" t="n"/>
      <c r="G54" s="4" t="n"/>
      <c r="H54" s="4" t="n"/>
      <c r="I54" s="2" t="n"/>
      <c r="J54" s="5" t="n"/>
      <c r="K54" s="5" t="n"/>
      <c r="L54" s="6">
        <f>IF($A54="","",IFERROR($K54-$J54,0))</f>
        <v/>
      </c>
      <c r="M54" s="5" t="n"/>
      <c r="N54" s="7" t="n"/>
      <c r="O54" s="8">
        <f>IF($A54="","",IFERROR($M54*$N54,0))</f>
        <v/>
      </c>
      <c r="P54" s="6">
        <f>IF($A54="","",IFERROR($L54/$M54,0))</f>
        <v/>
      </c>
      <c r="Q54" s="2" t="n"/>
      <c r="R54" s="2" t="n"/>
      <c r="S54" s="9" t="n"/>
      <c r="T54" s="10">
        <f>IF($A54="","",IF($P54&lt;6,"Atenção","Normal"))</f>
        <v/>
      </c>
    </row>
    <row r="55">
      <c r="A55" s="2" t="n"/>
      <c r="B55" s="35" t="n"/>
      <c r="C55" s="4" t="n"/>
      <c r="D55" s="2" t="n"/>
      <c r="E55" s="4" t="n"/>
      <c r="F55" s="4" t="n"/>
      <c r="G55" s="4" t="n"/>
      <c r="H55" s="4" t="n"/>
      <c r="I55" s="2" t="n"/>
      <c r="J55" s="5" t="n"/>
      <c r="K55" s="5" t="n"/>
      <c r="L55" s="6">
        <f>IF($A55="","",IFERROR($K55-$J55,0))</f>
        <v/>
      </c>
      <c r="M55" s="5" t="n"/>
      <c r="N55" s="7" t="n"/>
      <c r="O55" s="8">
        <f>IF($A55="","",IFERROR($M55*$N55,0))</f>
        <v/>
      </c>
      <c r="P55" s="6">
        <f>IF($A55="","",IFERROR($L55/$M55,0))</f>
        <v/>
      </c>
      <c r="Q55" s="2" t="n"/>
      <c r="R55" s="2" t="n"/>
      <c r="S55" s="9" t="n"/>
      <c r="T55" s="10">
        <f>IF($A55="","",IF($P55&lt;6,"Atenção","Normal"))</f>
        <v/>
      </c>
    </row>
    <row r="56">
      <c r="A56" s="2" t="n"/>
      <c r="B56" s="35" t="n"/>
      <c r="C56" s="4" t="n"/>
      <c r="D56" s="2" t="n"/>
      <c r="E56" s="4" t="n"/>
      <c r="F56" s="4" t="n"/>
      <c r="G56" s="4" t="n"/>
      <c r="H56" s="4" t="n"/>
      <c r="I56" s="2" t="n"/>
      <c r="J56" s="5" t="n"/>
      <c r="K56" s="5" t="n"/>
      <c r="L56" s="6">
        <f>IF($A56="","",IFERROR($K56-$J56,0))</f>
        <v/>
      </c>
      <c r="M56" s="5" t="n"/>
      <c r="N56" s="7" t="n"/>
      <c r="O56" s="8">
        <f>IF($A56="","",IFERROR($M56*$N56,0))</f>
        <v/>
      </c>
      <c r="P56" s="6">
        <f>IF($A56="","",IFERROR($L56/$M56,0))</f>
        <v/>
      </c>
      <c r="Q56" s="2" t="n"/>
      <c r="R56" s="2" t="n"/>
      <c r="S56" s="9" t="n"/>
      <c r="T56" s="10">
        <f>IF($A56="","",IF($P56&lt;6,"Atenção","Normal"))</f>
        <v/>
      </c>
    </row>
    <row r="57">
      <c r="A57" s="2" t="n"/>
      <c r="B57" s="35" t="n"/>
      <c r="C57" s="4" t="n"/>
      <c r="D57" s="2" t="n"/>
      <c r="E57" s="4" t="n"/>
      <c r="F57" s="4" t="n"/>
      <c r="G57" s="4" t="n"/>
      <c r="H57" s="4" t="n"/>
      <c r="I57" s="2" t="n"/>
      <c r="J57" s="5" t="n"/>
      <c r="K57" s="5" t="n"/>
      <c r="L57" s="6">
        <f>IF($A57="","",IFERROR($K57-$J57,0))</f>
        <v/>
      </c>
      <c r="M57" s="5" t="n"/>
      <c r="N57" s="7" t="n"/>
      <c r="O57" s="8">
        <f>IF($A57="","",IFERROR($M57*$N57,0))</f>
        <v/>
      </c>
      <c r="P57" s="6">
        <f>IF($A57="","",IFERROR($L57/$M57,0))</f>
        <v/>
      </c>
      <c r="Q57" s="2" t="n"/>
      <c r="R57" s="2" t="n"/>
      <c r="S57" s="9" t="n"/>
      <c r="T57" s="10">
        <f>IF($A57="","",IF($P57&lt;6,"Atenção","Normal"))</f>
        <v/>
      </c>
    </row>
    <row r="58">
      <c r="A58" s="2" t="n"/>
      <c r="B58" s="35" t="n"/>
      <c r="C58" s="4" t="n"/>
      <c r="D58" s="2" t="n"/>
      <c r="E58" s="4" t="n"/>
      <c r="F58" s="4" t="n"/>
      <c r="G58" s="4" t="n"/>
      <c r="H58" s="4" t="n"/>
      <c r="I58" s="2" t="n"/>
      <c r="J58" s="5" t="n"/>
      <c r="K58" s="5" t="n"/>
      <c r="L58" s="6">
        <f>IF($A58="","",IFERROR($K58-$J58,0))</f>
        <v/>
      </c>
      <c r="M58" s="5" t="n"/>
      <c r="N58" s="7" t="n"/>
      <c r="O58" s="8">
        <f>IF($A58="","",IFERROR($M58*$N58,0))</f>
        <v/>
      </c>
      <c r="P58" s="6">
        <f>IF($A58="","",IFERROR($L58/$M58,0))</f>
        <v/>
      </c>
      <c r="Q58" s="2" t="n"/>
      <c r="R58" s="2" t="n"/>
      <c r="S58" s="9" t="n"/>
      <c r="T58" s="10">
        <f>IF($A58="","",IF($P58&lt;6,"Atenção","Normal"))</f>
        <v/>
      </c>
    </row>
    <row r="59">
      <c r="A59" s="2" t="n"/>
      <c r="B59" s="35" t="n"/>
      <c r="C59" s="4" t="n"/>
      <c r="D59" s="2" t="n"/>
      <c r="E59" s="4" t="n"/>
      <c r="F59" s="4" t="n"/>
      <c r="G59" s="4" t="n"/>
      <c r="H59" s="4" t="n"/>
      <c r="I59" s="2" t="n"/>
      <c r="J59" s="5" t="n"/>
      <c r="K59" s="5" t="n"/>
      <c r="L59" s="6">
        <f>IF($A59="","",IFERROR($K59-$J59,0))</f>
        <v/>
      </c>
      <c r="M59" s="5" t="n"/>
      <c r="N59" s="7" t="n"/>
      <c r="O59" s="8">
        <f>IF($A59="","",IFERROR($M59*$N59,0))</f>
        <v/>
      </c>
      <c r="P59" s="6">
        <f>IF($A59="","",IFERROR($L59/$M59,0))</f>
        <v/>
      </c>
      <c r="Q59" s="2" t="n"/>
      <c r="R59" s="2" t="n"/>
      <c r="S59" s="9" t="n"/>
      <c r="T59" s="10">
        <f>IF($A59="","",IF($P59&lt;6,"Atenção","Normal"))</f>
        <v/>
      </c>
    </row>
    <row r="60">
      <c r="A60" s="2" t="n"/>
      <c r="B60" s="35" t="n"/>
      <c r="C60" s="4" t="n"/>
      <c r="D60" s="2" t="n"/>
      <c r="E60" s="4" t="n"/>
      <c r="F60" s="4" t="n"/>
      <c r="G60" s="4" t="n"/>
      <c r="H60" s="4" t="n"/>
      <c r="I60" s="2" t="n"/>
      <c r="J60" s="5" t="n"/>
      <c r="K60" s="5" t="n"/>
      <c r="L60" s="6">
        <f>IF($A60="","",IFERROR($K60-$J60,0))</f>
        <v/>
      </c>
      <c r="M60" s="5" t="n"/>
      <c r="N60" s="7" t="n"/>
      <c r="O60" s="8">
        <f>IF($A60="","",IFERROR($M60*$N60,0))</f>
        <v/>
      </c>
      <c r="P60" s="6">
        <f>IF($A60="","",IFERROR($L60/$M60,0))</f>
        <v/>
      </c>
      <c r="Q60" s="2" t="n"/>
      <c r="R60" s="2" t="n"/>
      <c r="S60" s="9" t="n"/>
      <c r="T60" s="10">
        <f>IF($A60="","",IF($P60&lt;6,"Atenção","Normal"))</f>
        <v/>
      </c>
    </row>
    <row r="61">
      <c r="A61" s="2" t="n"/>
      <c r="B61" s="35" t="n"/>
      <c r="C61" s="4" t="n"/>
      <c r="D61" s="2" t="n"/>
      <c r="E61" s="4" t="n"/>
      <c r="F61" s="4" t="n"/>
      <c r="G61" s="4" t="n"/>
      <c r="H61" s="4" t="n"/>
      <c r="I61" s="2" t="n"/>
      <c r="J61" s="5" t="n"/>
      <c r="K61" s="5" t="n"/>
      <c r="L61" s="6">
        <f>IF($A61="","",IFERROR($K61-$J61,0))</f>
        <v/>
      </c>
      <c r="M61" s="5" t="n"/>
      <c r="N61" s="7" t="n"/>
      <c r="O61" s="8">
        <f>IF($A61="","",IFERROR($M61*$N61,0))</f>
        <v/>
      </c>
      <c r="P61" s="6">
        <f>IF($A61="","",IFERROR($L61/$M61,0))</f>
        <v/>
      </c>
      <c r="Q61" s="2" t="n"/>
      <c r="R61" s="2" t="n"/>
      <c r="S61" s="9" t="n"/>
      <c r="T61" s="10">
        <f>IF($A61="","",IF($P61&lt;6,"Atenção","Normal"))</f>
        <v/>
      </c>
    </row>
    <row r="62">
      <c r="A62" s="2" t="n"/>
      <c r="B62" s="35" t="n"/>
      <c r="C62" s="4" t="n"/>
      <c r="D62" s="2" t="n"/>
      <c r="E62" s="4" t="n"/>
      <c r="F62" s="4" t="n"/>
      <c r="G62" s="4" t="n"/>
      <c r="H62" s="4" t="n"/>
      <c r="I62" s="2" t="n"/>
      <c r="J62" s="5" t="n"/>
      <c r="K62" s="5" t="n"/>
      <c r="L62" s="6">
        <f>IF($A62="","",IFERROR($K62-$J62,0))</f>
        <v/>
      </c>
      <c r="M62" s="5" t="n"/>
      <c r="N62" s="7" t="n"/>
      <c r="O62" s="8">
        <f>IF($A62="","",IFERROR($M62*$N62,0))</f>
        <v/>
      </c>
      <c r="P62" s="6">
        <f>IF($A62="","",IFERROR($L62/$M62,0))</f>
        <v/>
      </c>
      <c r="Q62" s="2" t="n"/>
      <c r="R62" s="2" t="n"/>
      <c r="S62" s="9" t="n"/>
      <c r="T62" s="10">
        <f>IF($A62="","",IF($P62&lt;6,"Atenção","Normal"))</f>
        <v/>
      </c>
    </row>
    <row r="63">
      <c r="A63" s="2" t="n"/>
      <c r="B63" s="35" t="n"/>
      <c r="C63" s="4" t="n"/>
      <c r="D63" s="2" t="n"/>
      <c r="E63" s="4" t="n"/>
      <c r="F63" s="4" t="n"/>
      <c r="G63" s="4" t="n"/>
      <c r="H63" s="4" t="n"/>
      <c r="I63" s="2" t="n"/>
      <c r="J63" s="5" t="n"/>
      <c r="K63" s="5" t="n"/>
      <c r="L63" s="6">
        <f>IF($A63="","",IFERROR($K63-$J63,0))</f>
        <v/>
      </c>
      <c r="M63" s="5" t="n"/>
      <c r="N63" s="7" t="n"/>
      <c r="O63" s="8">
        <f>IF($A63="","",IFERROR($M63*$N63,0))</f>
        <v/>
      </c>
      <c r="P63" s="6">
        <f>IF($A63="","",IFERROR($L63/$M63,0))</f>
        <v/>
      </c>
      <c r="Q63" s="2" t="n"/>
      <c r="R63" s="2" t="n"/>
      <c r="S63" s="9" t="n"/>
      <c r="T63" s="10">
        <f>IF($A63="","",IF($P63&lt;6,"Atenção","Normal"))</f>
        <v/>
      </c>
    </row>
    <row r="64">
      <c r="A64" s="2" t="n"/>
      <c r="B64" s="35" t="n"/>
      <c r="C64" s="4" t="n"/>
      <c r="D64" s="2" t="n"/>
      <c r="E64" s="4" t="n"/>
      <c r="F64" s="4" t="n"/>
      <c r="G64" s="4" t="n"/>
      <c r="H64" s="4" t="n"/>
      <c r="I64" s="2" t="n"/>
      <c r="J64" s="5" t="n"/>
      <c r="K64" s="5" t="n"/>
      <c r="L64" s="6">
        <f>IF($A64="","",IFERROR($K64-$J64,0))</f>
        <v/>
      </c>
      <c r="M64" s="5" t="n"/>
      <c r="N64" s="7" t="n"/>
      <c r="O64" s="8">
        <f>IF($A64="","",IFERROR($M64*$N64,0))</f>
        <v/>
      </c>
      <c r="P64" s="6">
        <f>IF($A64="","",IFERROR($L64/$M64,0))</f>
        <v/>
      </c>
      <c r="Q64" s="2" t="n"/>
      <c r="R64" s="2" t="n"/>
      <c r="S64" s="9" t="n"/>
      <c r="T64" s="10">
        <f>IF($A64="","",IF($P64&lt;6,"Atenção","Normal"))</f>
        <v/>
      </c>
    </row>
    <row r="65">
      <c r="A65" s="2" t="n"/>
      <c r="B65" s="35" t="n"/>
      <c r="C65" s="4" t="n"/>
      <c r="D65" s="2" t="n"/>
      <c r="E65" s="4" t="n"/>
      <c r="F65" s="4" t="n"/>
      <c r="G65" s="4" t="n"/>
      <c r="H65" s="4" t="n"/>
      <c r="I65" s="2" t="n"/>
      <c r="J65" s="5" t="n"/>
      <c r="K65" s="5" t="n"/>
      <c r="L65" s="6">
        <f>IF($A65="","",IFERROR($K65-$J65,0))</f>
        <v/>
      </c>
      <c r="M65" s="5" t="n"/>
      <c r="N65" s="7" t="n"/>
      <c r="O65" s="8">
        <f>IF($A65="","",IFERROR($M65*$N65,0))</f>
        <v/>
      </c>
      <c r="P65" s="6">
        <f>IF($A65="","",IFERROR($L65/$M65,0))</f>
        <v/>
      </c>
      <c r="Q65" s="2" t="n"/>
      <c r="R65" s="2" t="n"/>
      <c r="S65" s="9" t="n"/>
      <c r="T65" s="10">
        <f>IF($A65="","",IF($P65&lt;6,"Atenção","Normal"))</f>
        <v/>
      </c>
    </row>
    <row r="66">
      <c r="A66" s="2" t="n"/>
      <c r="B66" s="35" t="n"/>
      <c r="C66" s="4" t="n"/>
      <c r="D66" s="2" t="n"/>
      <c r="E66" s="4" t="n"/>
      <c r="F66" s="4" t="n"/>
      <c r="G66" s="4" t="n"/>
      <c r="H66" s="4" t="n"/>
      <c r="I66" s="2" t="n"/>
      <c r="J66" s="5" t="n"/>
      <c r="K66" s="5" t="n"/>
      <c r="L66" s="6">
        <f>IF($A66="","",IFERROR($K66-$J66,0))</f>
        <v/>
      </c>
      <c r="M66" s="5" t="n"/>
      <c r="N66" s="7" t="n"/>
      <c r="O66" s="8">
        <f>IF($A66="","",IFERROR($M66*$N66,0))</f>
        <v/>
      </c>
      <c r="P66" s="6">
        <f>IF($A66="","",IFERROR($L66/$M66,0))</f>
        <v/>
      </c>
      <c r="Q66" s="2" t="n"/>
      <c r="R66" s="2" t="n"/>
      <c r="S66" s="9" t="n"/>
      <c r="T66" s="10">
        <f>IF($A66="","",IF($P66&lt;6,"Atenção","Normal"))</f>
        <v/>
      </c>
    </row>
    <row r="67">
      <c r="A67" s="2" t="n"/>
      <c r="B67" s="35" t="n"/>
      <c r="C67" s="4" t="n"/>
      <c r="D67" s="2" t="n"/>
      <c r="E67" s="4" t="n"/>
      <c r="F67" s="4" t="n"/>
      <c r="G67" s="4" t="n"/>
      <c r="H67" s="4" t="n"/>
      <c r="I67" s="2" t="n"/>
      <c r="J67" s="5" t="n"/>
      <c r="K67" s="5" t="n"/>
      <c r="L67" s="6">
        <f>IF($A67="","",IFERROR($K67-$J67,0))</f>
        <v/>
      </c>
      <c r="M67" s="5" t="n"/>
      <c r="N67" s="7" t="n"/>
      <c r="O67" s="8">
        <f>IF($A67="","",IFERROR($M67*$N67,0))</f>
        <v/>
      </c>
      <c r="P67" s="6">
        <f>IF($A67="","",IFERROR($L67/$M67,0))</f>
        <v/>
      </c>
      <c r="Q67" s="2" t="n"/>
      <c r="R67" s="2" t="n"/>
      <c r="S67" s="9" t="n"/>
      <c r="T67" s="10">
        <f>IF($A67="","",IF($P67&lt;6,"Atenção","Normal"))</f>
        <v/>
      </c>
    </row>
    <row r="68">
      <c r="A68" s="2" t="n"/>
      <c r="B68" s="35" t="n"/>
      <c r="C68" s="4" t="n"/>
      <c r="D68" s="2" t="n"/>
      <c r="E68" s="4" t="n"/>
      <c r="F68" s="4" t="n"/>
      <c r="G68" s="4" t="n"/>
      <c r="H68" s="4" t="n"/>
      <c r="I68" s="2" t="n"/>
      <c r="J68" s="5" t="n"/>
      <c r="K68" s="5" t="n"/>
      <c r="L68" s="6">
        <f>IF($A68="","",IFERROR($K68-$J68,0))</f>
        <v/>
      </c>
      <c r="M68" s="5" t="n"/>
      <c r="N68" s="7" t="n"/>
      <c r="O68" s="8">
        <f>IF($A68="","",IFERROR($M68*$N68,0))</f>
        <v/>
      </c>
      <c r="P68" s="6">
        <f>IF($A68="","",IFERROR($L68/$M68,0))</f>
        <v/>
      </c>
      <c r="Q68" s="2" t="n"/>
      <c r="R68" s="2" t="n"/>
      <c r="S68" s="9" t="n"/>
      <c r="T68" s="10">
        <f>IF($A68="","",IF($P68&lt;6,"Atenção","Normal"))</f>
        <v/>
      </c>
    </row>
    <row r="69">
      <c r="A69" s="2" t="n"/>
      <c r="B69" s="35" t="n"/>
      <c r="C69" s="4" t="n"/>
      <c r="D69" s="2" t="n"/>
      <c r="E69" s="4" t="n"/>
      <c r="F69" s="4" t="n"/>
      <c r="G69" s="4" t="n"/>
      <c r="H69" s="4" t="n"/>
      <c r="I69" s="2" t="n"/>
      <c r="J69" s="5" t="n"/>
      <c r="K69" s="5" t="n"/>
      <c r="L69" s="6">
        <f>IF($A69="","",IFERROR($K69-$J69,0))</f>
        <v/>
      </c>
      <c r="M69" s="5" t="n"/>
      <c r="N69" s="7" t="n"/>
      <c r="O69" s="8">
        <f>IF($A69="","",IFERROR($M69*$N69,0))</f>
        <v/>
      </c>
      <c r="P69" s="6">
        <f>IF($A69="","",IFERROR($L69/$M69,0))</f>
        <v/>
      </c>
      <c r="Q69" s="2" t="n"/>
      <c r="R69" s="2" t="n"/>
      <c r="S69" s="9" t="n"/>
      <c r="T69" s="10">
        <f>IF($A69="","",IF($P69&lt;6,"Atenção","Normal"))</f>
        <v/>
      </c>
    </row>
    <row r="70">
      <c r="A70" s="2" t="n"/>
      <c r="B70" s="35" t="n"/>
      <c r="C70" s="4" t="n"/>
      <c r="D70" s="2" t="n"/>
      <c r="E70" s="4" t="n"/>
      <c r="F70" s="4" t="n"/>
      <c r="G70" s="4" t="n"/>
      <c r="H70" s="4" t="n"/>
      <c r="I70" s="2" t="n"/>
      <c r="J70" s="5" t="n"/>
      <c r="K70" s="5" t="n"/>
      <c r="L70" s="6">
        <f>IF($A70="","",IFERROR($K70-$J70,0))</f>
        <v/>
      </c>
      <c r="M70" s="5" t="n"/>
      <c r="N70" s="7" t="n"/>
      <c r="O70" s="8">
        <f>IF($A70="","",IFERROR($M70*$N70,0))</f>
        <v/>
      </c>
      <c r="P70" s="6">
        <f>IF($A70="","",IFERROR($L70/$M70,0))</f>
        <v/>
      </c>
      <c r="Q70" s="2" t="n"/>
      <c r="R70" s="2" t="n"/>
      <c r="S70" s="9" t="n"/>
      <c r="T70" s="10">
        <f>IF($A70="","",IF($P70&lt;6,"Atenção","Normal"))</f>
        <v/>
      </c>
    </row>
    <row r="71">
      <c r="A71" s="2" t="n"/>
      <c r="B71" s="35" t="n"/>
      <c r="C71" s="4" t="n"/>
      <c r="D71" s="2" t="n"/>
      <c r="E71" s="4" t="n"/>
      <c r="F71" s="4" t="n"/>
      <c r="G71" s="4" t="n"/>
      <c r="H71" s="4" t="n"/>
      <c r="I71" s="2" t="n"/>
      <c r="J71" s="5" t="n"/>
      <c r="K71" s="5" t="n"/>
      <c r="L71" s="6">
        <f>IF($A71="","",IFERROR($K71-$J71,0))</f>
        <v/>
      </c>
      <c r="M71" s="5" t="n"/>
      <c r="N71" s="7" t="n"/>
      <c r="O71" s="8">
        <f>IF($A71="","",IFERROR($M71*$N71,0))</f>
        <v/>
      </c>
      <c r="P71" s="6">
        <f>IF($A71="","",IFERROR($L71/$M71,0))</f>
        <v/>
      </c>
      <c r="Q71" s="2" t="n"/>
      <c r="R71" s="2" t="n"/>
      <c r="S71" s="9" t="n"/>
      <c r="T71" s="10">
        <f>IF($A71="","",IF($P71&lt;6,"Atenção","Normal"))</f>
        <v/>
      </c>
    </row>
    <row r="72">
      <c r="A72" s="2" t="n"/>
      <c r="B72" s="35" t="n"/>
      <c r="C72" s="4" t="n"/>
      <c r="D72" s="2" t="n"/>
      <c r="E72" s="4" t="n"/>
      <c r="F72" s="4" t="n"/>
      <c r="G72" s="4" t="n"/>
      <c r="H72" s="4" t="n"/>
      <c r="I72" s="2" t="n"/>
      <c r="J72" s="5" t="n"/>
      <c r="K72" s="5" t="n"/>
      <c r="L72" s="6">
        <f>IF($A72="","",IFERROR($K72-$J72,0))</f>
        <v/>
      </c>
      <c r="M72" s="5" t="n"/>
      <c r="N72" s="7" t="n"/>
      <c r="O72" s="8">
        <f>IF($A72="","",IFERROR($M72*$N72,0))</f>
        <v/>
      </c>
      <c r="P72" s="6">
        <f>IF($A72="","",IFERROR($L72/$M72,0))</f>
        <v/>
      </c>
      <c r="Q72" s="2" t="n"/>
      <c r="R72" s="2" t="n"/>
      <c r="S72" s="9" t="n"/>
      <c r="T72" s="10">
        <f>IF($A72="","",IF($P72&lt;6,"Atenção","Normal"))</f>
        <v/>
      </c>
    </row>
    <row r="73">
      <c r="A73" s="2" t="n"/>
      <c r="B73" s="35" t="n"/>
      <c r="C73" s="4" t="n"/>
      <c r="D73" s="2" t="n"/>
      <c r="E73" s="4" t="n"/>
      <c r="F73" s="4" t="n"/>
      <c r="G73" s="4" t="n"/>
      <c r="H73" s="4" t="n"/>
      <c r="I73" s="2" t="n"/>
      <c r="J73" s="5" t="n"/>
      <c r="K73" s="5" t="n"/>
      <c r="L73" s="6">
        <f>IF($A73="","",IFERROR($K73-$J73,0))</f>
        <v/>
      </c>
      <c r="M73" s="5" t="n"/>
      <c r="N73" s="7" t="n"/>
      <c r="O73" s="8">
        <f>IF($A73="","",IFERROR($M73*$N73,0))</f>
        <v/>
      </c>
      <c r="P73" s="6">
        <f>IF($A73="","",IFERROR($L73/$M73,0))</f>
        <v/>
      </c>
      <c r="Q73" s="2" t="n"/>
      <c r="R73" s="2" t="n"/>
      <c r="S73" s="9" t="n"/>
      <c r="T73" s="10">
        <f>IF($A73="","",IF($P73&lt;6,"Atenção","Normal"))</f>
        <v/>
      </c>
    </row>
    <row r="74">
      <c r="A74" s="2" t="n"/>
      <c r="B74" s="35" t="n"/>
      <c r="C74" s="4" t="n"/>
      <c r="D74" s="2" t="n"/>
      <c r="E74" s="4" t="n"/>
      <c r="F74" s="4" t="n"/>
      <c r="G74" s="4" t="n"/>
      <c r="H74" s="4" t="n"/>
      <c r="I74" s="2" t="n"/>
      <c r="J74" s="5" t="n"/>
      <c r="K74" s="5" t="n"/>
      <c r="L74" s="6">
        <f>IF($A74="","",IFERROR($K74-$J74,0))</f>
        <v/>
      </c>
      <c r="M74" s="5" t="n"/>
      <c r="N74" s="7" t="n"/>
      <c r="O74" s="8">
        <f>IF($A74="","",IFERROR($M74*$N74,0))</f>
        <v/>
      </c>
      <c r="P74" s="6">
        <f>IF($A74="","",IFERROR($L74/$M74,0))</f>
        <v/>
      </c>
      <c r="Q74" s="2" t="n"/>
      <c r="R74" s="2" t="n"/>
      <c r="S74" s="9" t="n"/>
      <c r="T74" s="10">
        <f>IF($A74="","",IF($P74&lt;6,"Atenção","Normal"))</f>
        <v/>
      </c>
    </row>
    <row r="75">
      <c r="A75" s="2" t="n"/>
      <c r="B75" s="35" t="n"/>
      <c r="C75" s="4" t="n"/>
      <c r="D75" s="2" t="n"/>
      <c r="E75" s="4" t="n"/>
      <c r="F75" s="4" t="n"/>
      <c r="G75" s="4" t="n"/>
      <c r="H75" s="4" t="n"/>
      <c r="I75" s="2" t="n"/>
      <c r="J75" s="5" t="n"/>
      <c r="K75" s="5" t="n"/>
      <c r="L75" s="6">
        <f>IF($A75="","",IFERROR($K75-$J75,0))</f>
        <v/>
      </c>
      <c r="M75" s="5" t="n"/>
      <c r="N75" s="7" t="n"/>
      <c r="O75" s="8">
        <f>IF($A75="","",IFERROR($M75*$N75,0))</f>
        <v/>
      </c>
      <c r="P75" s="6">
        <f>IF($A75="","",IFERROR($L75/$M75,0))</f>
        <v/>
      </c>
      <c r="Q75" s="2" t="n"/>
      <c r="R75" s="2" t="n"/>
      <c r="S75" s="9" t="n"/>
      <c r="T75" s="10">
        <f>IF($A75="","",IF($P75&lt;6,"Atenção","Normal"))</f>
        <v/>
      </c>
    </row>
    <row r="76">
      <c r="A76" s="2" t="n"/>
      <c r="B76" s="35" t="n"/>
      <c r="C76" s="4" t="n"/>
      <c r="D76" s="2" t="n"/>
      <c r="E76" s="4" t="n"/>
      <c r="F76" s="4" t="n"/>
      <c r="G76" s="4" t="n"/>
      <c r="H76" s="4" t="n"/>
      <c r="I76" s="2" t="n"/>
      <c r="J76" s="5" t="n"/>
      <c r="K76" s="5" t="n"/>
      <c r="L76" s="6">
        <f>IF($A76="","",IFERROR($K76-$J76,0))</f>
        <v/>
      </c>
      <c r="M76" s="5" t="n"/>
      <c r="N76" s="7" t="n"/>
      <c r="O76" s="8">
        <f>IF($A76="","",IFERROR($M76*$N76,0))</f>
        <v/>
      </c>
      <c r="P76" s="6">
        <f>IF($A76="","",IFERROR($L76/$M76,0))</f>
        <v/>
      </c>
      <c r="Q76" s="2" t="n"/>
      <c r="R76" s="2" t="n"/>
      <c r="S76" s="9" t="n"/>
      <c r="T76" s="10">
        <f>IF($A76="","",IF($P76&lt;6,"Atenção","Normal"))</f>
        <v/>
      </c>
    </row>
    <row r="77">
      <c r="A77" s="2" t="n"/>
      <c r="B77" s="35" t="n"/>
      <c r="C77" s="4" t="n"/>
      <c r="D77" s="2" t="n"/>
      <c r="E77" s="4" t="n"/>
      <c r="F77" s="4" t="n"/>
      <c r="G77" s="4" t="n"/>
      <c r="H77" s="4" t="n"/>
      <c r="I77" s="2" t="n"/>
      <c r="J77" s="5" t="n"/>
      <c r="K77" s="5" t="n"/>
      <c r="L77" s="6">
        <f>IF($A77="","",IFERROR($K77-$J77,0))</f>
        <v/>
      </c>
      <c r="M77" s="5" t="n"/>
      <c r="N77" s="7" t="n"/>
      <c r="O77" s="8">
        <f>IF($A77="","",IFERROR($M77*$N77,0))</f>
        <v/>
      </c>
      <c r="P77" s="6">
        <f>IF($A77="","",IFERROR($L77/$M77,0))</f>
        <v/>
      </c>
      <c r="Q77" s="2" t="n"/>
      <c r="R77" s="2" t="n"/>
      <c r="S77" s="9" t="n"/>
      <c r="T77" s="10">
        <f>IF($A77="","",IF($P77&lt;6,"Atenção","Normal"))</f>
        <v/>
      </c>
    </row>
    <row r="78">
      <c r="A78" s="2" t="n"/>
      <c r="B78" s="35" t="n"/>
      <c r="C78" s="4" t="n"/>
      <c r="D78" s="2" t="n"/>
      <c r="E78" s="4" t="n"/>
      <c r="F78" s="4" t="n"/>
      <c r="G78" s="4" t="n"/>
      <c r="H78" s="4" t="n"/>
      <c r="I78" s="2" t="n"/>
      <c r="J78" s="5" t="n"/>
      <c r="K78" s="5" t="n"/>
      <c r="L78" s="6">
        <f>IF($A78="","",IFERROR($K78-$J78,0))</f>
        <v/>
      </c>
      <c r="M78" s="5" t="n"/>
      <c r="N78" s="7" t="n"/>
      <c r="O78" s="8">
        <f>IF($A78="","",IFERROR($M78*$N78,0))</f>
        <v/>
      </c>
      <c r="P78" s="6">
        <f>IF($A78="","",IFERROR($L78/$M78,0))</f>
        <v/>
      </c>
      <c r="Q78" s="2" t="n"/>
      <c r="R78" s="2" t="n"/>
      <c r="S78" s="9" t="n"/>
      <c r="T78" s="10">
        <f>IF($A78="","",IF($P78&lt;6,"Atenção","Normal"))</f>
        <v/>
      </c>
    </row>
    <row r="79">
      <c r="A79" s="2" t="n"/>
      <c r="B79" s="35" t="n"/>
      <c r="C79" s="4" t="n"/>
      <c r="D79" s="2" t="n"/>
      <c r="E79" s="4" t="n"/>
      <c r="F79" s="4" t="n"/>
      <c r="G79" s="4" t="n"/>
      <c r="H79" s="4" t="n"/>
      <c r="I79" s="2" t="n"/>
      <c r="J79" s="5" t="n"/>
      <c r="K79" s="5" t="n"/>
      <c r="L79" s="6">
        <f>IF($A79="","",IFERROR($K79-$J79,0))</f>
        <v/>
      </c>
      <c r="M79" s="5" t="n"/>
      <c r="N79" s="7" t="n"/>
      <c r="O79" s="8">
        <f>IF($A79="","",IFERROR($M79*$N79,0))</f>
        <v/>
      </c>
      <c r="P79" s="6">
        <f>IF($A79="","",IFERROR($L79/$M79,0))</f>
        <v/>
      </c>
      <c r="Q79" s="2" t="n"/>
      <c r="R79" s="2" t="n"/>
      <c r="S79" s="9" t="n"/>
      <c r="T79" s="10">
        <f>IF($A79="","",IF($P79&lt;6,"Atenção","Normal"))</f>
        <v/>
      </c>
    </row>
    <row r="80">
      <c r="A80" s="2" t="n"/>
      <c r="B80" s="35" t="n"/>
      <c r="C80" s="4" t="n"/>
      <c r="D80" s="2" t="n"/>
      <c r="E80" s="4" t="n"/>
      <c r="F80" s="4" t="n"/>
      <c r="G80" s="4" t="n"/>
      <c r="H80" s="4" t="n"/>
      <c r="I80" s="2" t="n"/>
      <c r="J80" s="5" t="n"/>
      <c r="K80" s="5" t="n"/>
      <c r="L80" s="6">
        <f>IF($A80="","",IFERROR($K80-$J80,0))</f>
        <v/>
      </c>
      <c r="M80" s="5" t="n"/>
      <c r="N80" s="7" t="n"/>
      <c r="O80" s="8">
        <f>IF($A80="","",IFERROR($M80*$N80,0))</f>
        <v/>
      </c>
      <c r="P80" s="6">
        <f>IF($A80="","",IFERROR($L80/$M80,0))</f>
        <v/>
      </c>
      <c r="Q80" s="2" t="n"/>
      <c r="R80" s="2" t="n"/>
      <c r="S80" s="9" t="n"/>
      <c r="T80" s="10">
        <f>IF($A80="","",IF($P80&lt;6,"Atenção","Normal"))</f>
        <v/>
      </c>
    </row>
    <row r="81">
      <c r="A81" s="2" t="n"/>
      <c r="B81" s="35" t="n"/>
      <c r="C81" s="4" t="n"/>
      <c r="D81" s="2" t="n"/>
      <c r="E81" s="4" t="n"/>
      <c r="F81" s="4" t="n"/>
      <c r="G81" s="4" t="n"/>
      <c r="H81" s="4" t="n"/>
      <c r="I81" s="2" t="n"/>
      <c r="J81" s="5" t="n"/>
      <c r="K81" s="5" t="n"/>
      <c r="L81" s="6">
        <f>IF($A81="","",IFERROR($K81-$J81,0))</f>
        <v/>
      </c>
      <c r="M81" s="5" t="n"/>
      <c r="N81" s="7" t="n"/>
      <c r="O81" s="8">
        <f>IF($A81="","",IFERROR($M81*$N81,0))</f>
        <v/>
      </c>
      <c r="P81" s="6">
        <f>IF($A81="","",IFERROR($L81/$M81,0))</f>
        <v/>
      </c>
      <c r="Q81" s="2" t="n"/>
      <c r="R81" s="2" t="n"/>
      <c r="S81" s="9" t="n"/>
      <c r="T81" s="10">
        <f>IF($A81="","",IF($P81&lt;6,"Atenção","Normal"))</f>
        <v/>
      </c>
    </row>
    <row r="82">
      <c r="A82" s="2" t="n"/>
      <c r="B82" s="35" t="n"/>
      <c r="C82" s="4" t="n"/>
      <c r="D82" s="2" t="n"/>
      <c r="E82" s="4" t="n"/>
      <c r="F82" s="4" t="n"/>
      <c r="G82" s="4" t="n"/>
      <c r="H82" s="4" t="n"/>
      <c r="I82" s="2" t="n"/>
      <c r="J82" s="5" t="n"/>
      <c r="K82" s="5" t="n"/>
      <c r="L82" s="6">
        <f>IF($A82="","",IFERROR($K82-$J82,0))</f>
        <v/>
      </c>
      <c r="M82" s="5" t="n"/>
      <c r="N82" s="7" t="n"/>
      <c r="O82" s="8">
        <f>IF($A82="","",IFERROR($M82*$N82,0))</f>
        <v/>
      </c>
      <c r="P82" s="6">
        <f>IF($A82="","",IFERROR($L82/$M82,0))</f>
        <v/>
      </c>
      <c r="Q82" s="2" t="n"/>
      <c r="R82" s="2" t="n"/>
      <c r="S82" s="9" t="n"/>
      <c r="T82" s="10">
        <f>IF($A82="","",IF($P82&lt;6,"Atenção","Normal"))</f>
        <v/>
      </c>
    </row>
    <row r="83">
      <c r="A83" s="2" t="n"/>
      <c r="B83" s="35" t="n"/>
      <c r="C83" s="4" t="n"/>
      <c r="D83" s="2" t="n"/>
      <c r="E83" s="4" t="n"/>
      <c r="F83" s="4" t="n"/>
      <c r="G83" s="4" t="n"/>
      <c r="H83" s="4" t="n"/>
      <c r="I83" s="2" t="n"/>
      <c r="J83" s="5" t="n"/>
      <c r="K83" s="5" t="n"/>
      <c r="L83" s="6">
        <f>IF($A83="","",IFERROR($K83-$J83,0))</f>
        <v/>
      </c>
      <c r="M83" s="5" t="n"/>
      <c r="N83" s="7" t="n"/>
      <c r="O83" s="8">
        <f>IF($A83="","",IFERROR($M83*$N83,0))</f>
        <v/>
      </c>
      <c r="P83" s="6">
        <f>IF($A83="","",IFERROR($L83/$M83,0))</f>
        <v/>
      </c>
      <c r="Q83" s="2" t="n"/>
      <c r="R83" s="2" t="n"/>
      <c r="S83" s="9" t="n"/>
      <c r="T83" s="10">
        <f>IF($A83="","",IF($P83&lt;6,"Atenção","Normal"))</f>
        <v/>
      </c>
    </row>
    <row r="84">
      <c r="A84" s="2" t="n"/>
      <c r="B84" s="35" t="n"/>
      <c r="C84" s="4" t="n"/>
      <c r="D84" s="2" t="n"/>
      <c r="E84" s="4" t="n"/>
      <c r="F84" s="4" t="n"/>
      <c r="G84" s="4" t="n"/>
      <c r="H84" s="4" t="n"/>
      <c r="I84" s="2" t="n"/>
      <c r="J84" s="5" t="n"/>
      <c r="K84" s="5" t="n"/>
      <c r="L84" s="6">
        <f>IF($A84="","",IFERROR($K84-$J84,0))</f>
        <v/>
      </c>
      <c r="M84" s="5" t="n"/>
      <c r="N84" s="7" t="n"/>
      <c r="O84" s="8">
        <f>IF($A84="","",IFERROR($M84*$N84,0))</f>
        <v/>
      </c>
      <c r="P84" s="6">
        <f>IF($A84="","",IFERROR($L84/$M84,0))</f>
        <v/>
      </c>
      <c r="Q84" s="2" t="n"/>
      <c r="R84" s="2" t="n"/>
      <c r="S84" s="9" t="n"/>
      <c r="T84" s="10">
        <f>IF($A84="","",IF($P84&lt;6,"Atenção","Normal"))</f>
        <v/>
      </c>
    </row>
    <row r="85">
      <c r="A85" s="2" t="n"/>
      <c r="B85" s="35" t="n"/>
      <c r="C85" s="4" t="n"/>
      <c r="D85" s="2" t="n"/>
      <c r="E85" s="4" t="n"/>
      <c r="F85" s="4" t="n"/>
      <c r="G85" s="4" t="n"/>
      <c r="H85" s="4" t="n"/>
      <c r="I85" s="2" t="n"/>
      <c r="J85" s="5" t="n"/>
      <c r="K85" s="5" t="n"/>
      <c r="L85" s="6">
        <f>IF($A85="","",IFERROR($K85-$J85,0))</f>
        <v/>
      </c>
      <c r="M85" s="5" t="n"/>
      <c r="N85" s="7" t="n"/>
      <c r="O85" s="8">
        <f>IF($A85="","",IFERROR($M85*$N85,0))</f>
        <v/>
      </c>
      <c r="P85" s="6">
        <f>IF($A85="","",IFERROR($L85/$M85,0))</f>
        <v/>
      </c>
      <c r="Q85" s="2" t="n"/>
      <c r="R85" s="2" t="n"/>
      <c r="S85" s="9" t="n"/>
      <c r="T85" s="10">
        <f>IF($A85="","",IF($P85&lt;6,"Atenção","Normal"))</f>
        <v/>
      </c>
    </row>
    <row r="86">
      <c r="A86" s="2" t="n"/>
      <c r="B86" s="35" t="n"/>
      <c r="C86" s="4" t="n"/>
      <c r="D86" s="2" t="n"/>
      <c r="E86" s="4" t="n"/>
      <c r="F86" s="4" t="n"/>
      <c r="G86" s="4" t="n"/>
      <c r="H86" s="4" t="n"/>
      <c r="I86" s="2" t="n"/>
      <c r="J86" s="5" t="n"/>
      <c r="K86" s="5" t="n"/>
      <c r="L86" s="6">
        <f>IF($A86="","",IFERROR($K86-$J86,0))</f>
        <v/>
      </c>
      <c r="M86" s="5" t="n"/>
      <c r="N86" s="7" t="n"/>
      <c r="O86" s="8">
        <f>IF($A86="","",IFERROR($M86*$N86,0))</f>
        <v/>
      </c>
      <c r="P86" s="6">
        <f>IF($A86="","",IFERROR($L86/$M86,0))</f>
        <v/>
      </c>
      <c r="Q86" s="2" t="n"/>
      <c r="R86" s="2" t="n"/>
      <c r="S86" s="9" t="n"/>
      <c r="T86" s="10">
        <f>IF($A86="","",IF($P86&lt;6,"Atenção","Normal"))</f>
        <v/>
      </c>
    </row>
    <row r="87">
      <c r="A87" s="2" t="n"/>
      <c r="B87" s="35" t="n"/>
      <c r="C87" s="4" t="n"/>
      <c r="D87" s="2" t="n"/>
      <c r="E87" s="4" t="n"/>
      <c r="F87" s="4" t="n"/>
      <c r="G87" s="4" t="n"/>
      <c r="H87" s="4" t="n"/>
      <c r="I87" s="2" t="n"/>
      <c r="J87" s="5" t="n"/>
      <c r="K87" s="5" t="n"/>
      <c r="L87" s="6">
        <f>IF($A87="","",IFERROR($K87-$J87,0))</f>
        <v/>
      </c>
      <c r="M87" s="5" t="n"/>
      <c r="N87" s="7" t="n"/>
      <c r="O87" s="8">
        <f>IF($A87="","",IFERROR($M87*$N87,0))</f>
        <v/>
      </c>
      <c r="P87" s="6">
        <f>IF($A87="","",IFERROR($L87/$M87,0))</f>
        <v/>
      </c>
      <c r="Q87" s="2" t="n"/>
      <c r="R87" s="2" t="n"/>
      <c r="S87" s="9" t="n"/>
      <c r="T87" s="10">
        <f>IF($A87="","",IF($P87&lt;6,"Atenção","Normal"))</f>
        <v/>
      </c>
    </row>
    <row r="88">
      <c r="A88" s="2" t="n"/>
      <c r="B88" s="35" t="n"/>
      <c r="C88" s="4" t="n"/>
      <c r="D88" s="2" t="n"/>
      <c r="E88" s="4" t="n"/>
      <c r="F88" s="4" t="n"/>
      <c r="G88" s="4" t="n"/>
      <c r="H88" s="4" t="n"/>
      <c r="I88" s="2" t="n"/>
      <c r="J88" s="5" t="n"/>
      <c r="K88" s="5" t="n"/>
      <c r="L88" s="6">
        <f>IF($A88="","",IFERROR($K88-$J88,0))</f>
        <v/>
      </c>
      <c r="M88" s="5" t="n"/>
      <c r="N88" s="7" t="n"/>
      <c r="O88" s="8">
        <f>IF($A88="","",IFERROR($M88*$N88,0))</f>
        <v/>
      </c>
      <c r="P88" s="6">
        <f>IF($A88="","",IFERROR($L88/$M88,0))</f>
        <v/>
      </c>
      <c r="Q88" s="2" t="n"/>
      <c r="R88" s="2" t="n"/>
      <c r="S88" s="9" t="n"/>
      <c r="T88" s="10">
        <f>IF($A88="","",IF($P88&lt;6,"Atenção","Normal"))</f>
        <v/>
      </c>
    </row>
    <row r="89">
      <c r="A89" s="2" t="n"/>
      <c r="B89" s="35" t="n"/>
      <c r="C89" s="4" t="n"/>
      <c r="D89" s="2" t="n"/>
      <c r="E89" s="4" t="n"/>
      <c r="F89" s="4" t="n"/>
      <c r="G89" s="4" t="n"/>
      <c r="H89" s="4" t="n"/>
      <c r="I89" s="2" t="n"/>
      <c r="J89" s="5" t="n"/>
      <c r="K89" s="5" t="n"/>
      <c r="L89" s="6">
        <f>IF($A89="","",IFERROR($K89-$J89,0))</f>
        <v/>
      </c>
      <c r="M89" s="5" t="n"/>
      <c r="N89" s="7" t="n"/>
      <c r="O89" s="8">
        <f>IF($A89="","",IFERROR($M89*$N89,0))</f>
        <v/>
      </c>
      <c r="P89" s="6">
        <f>IF($A89="","",IFERROR($L89/$M89,0))</f>
        <v/>
      </c>
      <c r="Q89" s="2" t="n"/>
      <c r="R89" s="2" t="n"/>
      <c r="S89" s="9" t="n"/>
      <c r="T89" s="10">
        <f>IF($A89="","",IF($P89&lt;6,"Atenção","Normal"))</f>
        <v/>
      </c>
    </row>
    <row r="90">
      <c r="A90" s="2" t="n"/>
      <c r="B90" s="35" t="n"/>
      <c r="C90" s="4" t="n"/>
      <c r="D90" s="2" t="n"/>
      <c r="E90" s="4" t="n"/>
      <c r="F90" s="4" t="n"/>
      <c r="G90" s="4" t="n"/>
      <c r="H90" s="4" t="n"/>
      <c r="I90" s="2" t="n"/>
      <c r="J90" s="5" t="n"/>
      <c r="K90" s="5" t="n"/>
      <c r="L90" s="6">
        <f>IF($A90="","",IFERROR($K90-$J90,0))</f>
        <v/>
      </c>
      <c r="M90" s="5" t="n"/>
      <c r="N90" s="7" t="n"/>
      <c r="O90" s="8">
        <f>IF($A90="","",IFERROR($M90*$N90,0))</f>
        <v/>
      </c>
      <c r="P90" s="6">
        <f>IF($A90="","",IFERROR($L90/$M90,0))</f>
        <v/>
      </c>
      <c r="Q90" s="2" t="n"/>
      <c r="R90" s="2" t="n"/>
      <c r="S90" s="9" t="n"/>
      <c r="T90" s="10">
        <f>IF($A90="","",IF($P90&lt;6,"Atenção","Normal"))</f>
        <v/>
      </c>
    </row>
    <row r="91">
      <c r="A91" s="2" t="n"/>
      <c r="B91" s="35" t="n"/>
      <c r="C91" s="4" t="n"/>
      <c r="D91" s="2" t="n"/>
      <c r="E91" s="4" t="n"/>
      <c r="F91" s="4" t="n"/>
      <c r="G91" s="4" t="n"/>
      <c r="H91" s="4" t="n"/>
      <c r="I91" s="2" t="n"/>
      <c r="J91" s="5" t="n"/>
      <c r="K91" s="5" t="n"/>
      <c r="L91" s="6">
        <f>IF($A91="","",IFERROR($K91-$J91,0))</f>
        <v/>
      </c>
      <c r="M91" s="5" t="n"/>
      <c r="N91" s="7" t="n"/>
      <c r="O91" s="8">
        <f>IF($A91="","",IFERROR($M91*$N91,0))</f>
        <v/>
      </c>
      <c r="P91" s="6">
        <f>IF($A91="","",IFERROR($L91/$M91,0))</f>
        <v/>
      </c>
      <c r="Q91" s="2" t="n"/>
      <c r="R91" s="2" t="n"/>
      <c r="S91" s="9" t="n"/>
      <c r="T91" s="10">
        <f>IF($A91="","",IF($P91&lt;6,"Atenção","Normal"))</f>
        <v/>
      </c>
    </row>
    <row r="92">
      <c r="A92" s="2" t="n"/>
      <c r="B92" s="35" t="n"/>
      <c r="C92" s="4" t="n"/>
      <c r="D92" s="2" t="n"/>
      <c r="E92" s="4" t="n"/>
      <c r="F92" s="4" t="n"/>
      <c r="G92" s="4" t="n"/>
      <c r="H92" s="4" t="n"/>
      <c r="I92" s="2" t="n"/>
      <c r="J92" s="5" t="n"/>
      <c r="K92" s="5" t="n"/>
      <c r="L92" s="6">
        <f>IF($A92="","",IFERROR($K92-$J92,0))</f>
        <v/>
      </c>
      <c r="M92" s="5" t="n"/>
      <c r="N92" s="7" t="n"/>
      <c r="O92" s="8">
        <f>IF($A92="","",IFERROR($M92*$N92,0))</f>
        <v/>
      </c>
      <c r="P92" s="6">
        <f>IF($A92="","",IFERROR($L92/$M92,0))</f>
        <v/>
      </c>
      <c r="Q92" s="2" t="n"/>
      <c r="R92" s="2" t="n"/>
      <c r="S92" s="9" t="n"/>
      <c r="T92" s="10">
        <f>IF($A92="","",IF($P92&lt;6,"Atenção","Normal"))</f>
        <v/>
      </c>
    </row>
    <row r="93">
      <c r="A93" s="2" t="n"/>
      <c r="B93" s="35" t="n"/>
      <c r="C93" s="4" t="n"/>
      <c r="D93" s="2" t="n"/>
      <c r="E93" s="4" t="n"/>
      <c r="F93" s="4" t="n"/>
      <c r="G93" s="4" t="n"/>
      <c r="H93" s="4" t="n"/>
      <c r="I93" s="2" t="n"/>
      <c r="J93" s="5" t="n"/>
      <c r="K93" s="5" t="n"/>
      <c r="L93" s="6">
        <f>IF($A93="","",IFERROR($K93-$J93,0))</f>
        <v/>
      </c>
      <c r="M93" s="5" t="n"/>
      <c r="N93" s="7" t="n"/>
      <c r="O93" s="8">
        <f>IF($A93="","",IFERROR($M93*$N93,0))</f>
        <v/>
      </c>
      <c r="P93" s="6">
        <f>IF($A93="","",IFERROR($L93/$M93,0))</f>
        <v/>
      </c>
      <c r="Q93" s="2" t="n"/>
      <c r="R93" s="2" t="n"/>
      <c r="S93" s="9" t="n"/>
      <c r="T93" s="10">
        <f>IF($A93="","",IF($P93&lt;6,"Atenção","Normal"))</f>
        <v/>
      </c>
    </row>
    <row r="94">
      <c r="A94" s="2" t="n"/>
      <c r="B94" s="35" t="n"/>
      <c r="C94" s="4" t="n"/>
      <c r="D94" s="2" t="n"/>
      <c r="E94" s="4" t="n"/>
      <c r="F94" s="4" t="n"/>
      <c r="G94" s="4" t="n"/>
      <c r="H94" s="4" t="n"/>
      <c r="I94" s="2" t="n"/>
      <c r="J94" s="5" t="n"/>
      <c r="K94" s="5" t="n"/>
      <c r="L94" s="6">
        <f>IF($A94="","",IFERROR($K94-$J94,0))</f>
        <v/>
      </c>
      <c r="M94" s="5" t="n"/>
      <c r="N94" s="7" t="n"/>
      <c r="O94" s="8">
        <f>IF($A94="","",IFERROR($M94*$N94,0))</f>
        <v/>
      </c>
      <c r="P94" s="6">
        <f>IF($A94="","",IFERROR($L94/$M94,0))</f>
        <v/>
      </c>
      <c r="Q94" s="2" t="n"/>
      <c r="R94" s="2" t="n"/>
      <c r="S94" s="9" t="n"/>
      <c r="T94" s="10">
        <f>IF($A94="","",IF($P94&lt;6,"Atenção","Normal"))</f>
        <v/>
      </c>
    </row>
    <row r="95">
      <c r="A95" s="2" t="n"/>
      <c r="B95" s="35" t="n"/>
      <c r="C95" s="4" t="n"/>
      <c r="D95" s="2" t="n"/>
      <c r="E95" s="4" t="n"/>
      <c r="F95" s="4" t="n"/>
      <c r="G95" s="4" t="n"/>
      <c r="H95" s="4" t="n"/>
      <c r="I95" s="2" t="n"/>
      <c r="J95" s="5" t="n"/>
      <c r="K95" s="5" t="n"/>
      <c r="L95" s="6">
        <f>IF($A95="","",IFERROR($K95-$J95,0))</f>
        <v/>
      </c>
      <c r="M95" s="5" t="n"/>
      <c r="N95" s="7" t="n"/>
      <c r="O95" s="8">
        <f>IF($A95="","",IFERROR($M95*$N95,0))</f>
        <v/>
      </c>
      <c r="P95" s="6">
        <f>IF($A95="","",IFERROR($L95/$M95,0))</f>
        <v/>
      </c>
      <c r="Q95" s="2" t="n"/>
      <c r="R95" s="2" t="n"/>
      <c r="S95" s="9" t="n"/>
      <c r="T95" s="10">
        <f>IF($A95="","",IF($P95&lt;6,"Atenção","Normal"))</f>
        <v/>
      </c>
    </row>
    <row r="96">
      <c r="A96" s="2" t="n"/>
      <c r="B96" s="35" t="n"/>
      <c r="C96" s="4" t="n"/>
      <c r="D96" s="2" t="n"/>
      <c r="E96" s="4" t="n"/>
      <c r="F96" s="4" t="n"/>
      <c r="G96" s="4" t="n"/>
      <c r="H96" s="4" t="n"/>
      <c r="I96" s="2" t="n"/>
      <c r="J96" s="5" t="n"/>
      <c r="K96" s="5" t="n"/>
      <c r="L96" s="6">
        <f>IF($A96="","",IFERROR($K96-$J96,0))</f>
        <v/>
      </c>
      <c r="M96" s="5" t="n"/>
      <c r="N96" s="7" t="n"/>
      <c r="O96" s="8">
        <f>IF($A96="","",IFERROR($M96*$N96,0))</f>
        <v/>
      </c>
      <c r="P96" s="6">
        <f>IF($A96="","",IFERROR($L96/$M96,0))</f>
        <v/>
      </c>
      <c r="Q96" s="2" t="n"/>
      <c r="R96" s="2" t="n"/>
      <c r="S96" s="9" t="n"/>
      <c r="T96" s="10">
        <f>IF($A96="","",IF($P96&lt;6,"Atenção","Normal"))</f>
        <v/>
      </c>
    </row>
    <row r="97">
      <c r="A97" s="2" t="n"/>
      <c r="B97" s="35" t="n"/>
      <c r="C97" s="4" t="n"/>
      <c r="D97" s="2" t="n"/>
      <c r="E97" s="4" t="n"/>
      <c r="F97" s="4" t="n"/>
      <c r="G97" s="4" t="n"/>
      <c r="H97" s="4" t="n"/>
      <c r="I97" s="2" t="n"/>
      <c r="J97" s="5" t="n"/>
      <c r="K97" s="5" t="n"/>
      <c r="L97" s="6">
        <f>IF($A97="","",IFERROR($K97-$J97,0))</f>
        <v/>
      </c>
      <c r="M97" s="5" t="n"/>
      <c r="N97" s="7" t="n"/>
      <c r="O97" s="8">
        <f>IF($A97="","",IFERROR($M97*$N97,0))</f>
        <v/>
      </c>
      <c r="P97" s="6">
        <f>IF($A97="","",IFERROR($L97/$M97,0))</f>
        <v/>
      </c>
      <c r="Q97" s="2" t="n"/>
      <c r="R97" s="2" t="n"/>
      <c r="S97" s="9" t="n"/>
      <c r="T97" s="10">
        <f>IF($A97="","",IF($P97&lt;6,"Atenção","Normal"))</f>
        <v/>
      </c>
    </row>
    <row r="98">
      <c r="A98" s="2" t="n"/>
      <c r="B98" s="35" t="n"/>
      <c r="C98" s="4" t="n"/>
      <c r="D98" s="2" t="n"/>
      <c r="E98" s="4" t="n"/>
      <c r="F98" s="4" t="n"/>
      <c r="G98" s="4" t="n"/>
      <c r="H98" s="4" t="n"/>
      <c r="I98" s="2" t="n"/>
      <c r="J98" s="5" t="n"/>
      <c r="K98" s="5" t="n"/>
      <c r="L98" s="6">
        <f>IF($A98="","",IFERROR($K98-$J98,0))</f>
        <v/>
      </c>
      <c r="M98" s="5" t="n"/>
      <c r="N98" s="7" t="n"/>
      <c r="O98" s="8">
        <f>IF($A98="","",IFERROR($M98*$N98,0))</f>
        <v/>
      </c>
      <c r="P98" s="6">
        <f>IF($A98="","",IFERROR($L98/$M98,0))</f>
        <v/>
      </c>
      <c r="Q98" s="2" t="n"/>
      <c r="R98" s="2" t="n"/>
      <c r="S98" s="9" t="n"/>
      <c r="T98" s="10">
        <f>IF($A98="","",IF($P98&lt;6,"Atenção","Normal"))</f>
        <v/>
      </c>
    </row>
    <row r="99">
      <c r="A99" s="2" t="n"/>
      <c r="B99" s="35" t="n"/>
      <c r="C99" s="4" t="n"/>
      <c r="D99" s="2" t="n"/>
      <c r="E99" s="4" t="n"/>
      <c r="F99" s="4" t="n"/>
      <c r="G99" s="4" t="n"/>
      <c r="H99" s="4" t="n"/>
      <c r="I99" s="2" t="n"/>
      <c r="J99" s="5" t="n"/>
      <c r="K99" s="5" t="n"/>
      <c r="L99" s="6">
        <f>IF($A99="","",IFERROR($K99-$J99,0))</f>
        <v/>
      </c>
      <c r="M99" s="5" t="n"/>
      <c r="N99" s="7" t="n"/>
      <c r="O99" s="8">
        <f>IF($A99="","",IFERROR($M99*$N99,0))</f>
        <v/>
      </c>
      <c r="P99" s="6">
        <f>IF($A99="","",IFERROR($L99/$M99,0))</f>
        <v/>
      </c>
      <c r="Q99" s="2" t="n"/>
      <c r="R99" s="2" t="n"/>
      <c r="S99" s="9" t="n"/>
      <c r="T99" s="10">
        <f>IF($A99="","",IF($P99&lt;6,"Atenção","Normal"))</f>
        <v/>
      </c>
    </row>
    <row r="100">
      <c r="A100" s="2" t="n"/>
      <c r="B100" s="35" t="n"/>
      <c r="C100" s="4" t="n"/>
      <c r="D100" s="2" t="n"/>
      <c r="E100" s="4" t="n"/>
      <c r="F100" s="4" t="n"/>
      <c r="G100" s="4" t="n"/>
      <c r="H100" s="4" t="n"/>
      <c r="I100" s="2" t="n"/>
      <c r="J100" s="5" t="n"/>
      <c r="K100" s="5" t="n"/>
      <c r="L100" s="6">
        <f>IF($A100="","",IFERROR($K100-$J100,0))</f>
        <v/>
      </c>
      <c r="M100" s="5" t="n"/>
      <c r="N100" s="7" t="n"/>
      <c r="O100" s="8">
        <f>IF($A100="","",IFERROR($M100*$N100,0))</f>
        <v/>
      </c>
      <c r="P100" s="6">
        <f>IF($A100="","",IFERROR($L100/$M100,0))</f>
        <v/>
      </c>
      <c r="Q100" s="2" t="n"/>
      <c r="R100" s="2" t="n"/>
      <c r="S100" s="9" t="n"/>
      <c r="T100" s="10">
        <f>IF($A100="","",IF($P100&lt;6,"Atenção","Normal"))</f>
        <v/>
      </c>
    </row>
    <row r="101">
      <c r="A101" s="2" t="n"/>
      <c r="B101" s="35" t="n"/>
      <c r="C101" s="4" t="n"/>
      <c r="D101" s="2" t="n"/>
      <c r="E101" s="4" t="n"/>
      <c r="F101" s="4" t="n"/>
      <c r="G101" s="4" t="n"/>
      <c r="H101" s="4" t="n"/>
      <c r="I101" s="2" t="n"/>
      <c r="J101" s="5" t="n"/>
      <c r="K101" s="5" t="n"/>
      <c r="L101" s="6">
        <f>IF($A101="","",IFERROR($K101-$J101,0))</f>
        <v/>
      </c>
      <c r="M101" s="5" t="n"/>
      <c r="N101" s="7" t="n"/>
      <c r="O101" s="8">
        <f>IF($A101="","",IFERROR($M101*$N101,0))</f>
        <v/>
      </c>
      <c r="P101" s="6">
        <f>IF($A101="","",IFERROR($L101/$M101,0))</f>
        <v/>
      </c>
      <c r="Q101" s="2" t="n"/>
      <c r="R101" s="2" t="n"/>
      <c r="S101" s="9" t="n"/>
      <c r="T101" s="10">
        <f>IF($A101="","",IF($P101&lt;6,"Atenção","Normal"))</f>
        <v/>
      </c>
    </row>
  </sheetData>
  <autoFilter ref="A1:T101"/>
  <conditionalFormatting sqref="T2:T101">
    <cfRule type="expression" priority="1" dxfId="0">
      <formula>$T2="Atenção"</formula>
    </cfRule>
    <cfRule type="expression" priority="2" dxfId="1">
      <formula>$T2="Normal"</formula>
    </cfRule>
  </conditionalFormatting>
  <conditionalFormatting sqref="P2:P101">
    <cfRule type="expression" priority="3" dxfId="0">
      <formula>AND($P2&lt;6,$P2&lt;&gt;"")</formula>
    </cfRule>
  </conditionalFormatting>
  <dataValidations count="4">
    <dataValidation sqref="C2:C101" showErrorMessage="1" showInputMessage="1" allowBlank="1" errorTitle="Veículo não padronizado" error="Selecione um veículo da frota cadastrada." promptTitle="Veículo" prompt="Selecione o veículo utilizado no abastecimento." type="list">
      <formula1>"Fiat Strada,Volkswagen Saveiro,Chevrolet Onix,Renault Master,Toyota Corolla"</formula1>
    </dataValidation>
    <dataValidation sqref="I2:I101" showErrorMessage="1" showInputMessage="1" allowBlank="1" errorTitle="Combustível inválido" error="Selecione um tipo de combustível disponível." promptTitle="Tipo de combustível" prompt="Selecione o combustível abastecido." type="list">
      <formula1>"Gasolina,Etanol,Diesel,GNV"</formula1>
    </dataValidation>
    <dataValidation sqref="Q2:Q101" showErrorMessage="1" showInputMessage="1" allowBlank="1" errorTitle="Forma de pagamento inválida" error="Selecione uma forma de pagamento disponível." promptTitle="Forma de pagamento" prompt="Selecione a forma de pagamento." type="list">
      <formula1>"Cartão corporativo,Boleto,Dinheiro,Pix"</formula1>
    </dataValidation>
    <dataValidation sqref="T2:T101" showErrorMessage="1" showInputMessage="1" allowBlank="1" errorTitle="Status calculado" error="O status é calculado automaticamente pela média km/l." promptTitle="Status automático" prompt="Não altere o resultado calculado." type="list">
      <formula1>"Atenção,Normal"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6B6D4"/>
    <outlinePr summaryBelow="1" summaryRight="1"/>
    <pageSetUpPr/>
  </sheetPr>
  <dimension ref="A1:R1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" customWidth="1" min="3" max="3"/>
    <col width="31" customWidth="1" min="4" max="4"/>
    <col width="18" customWidth="1" min="5" max="5"/>
    <col width="16" customWidth="1" min="6" max="6"/>
    <col width="4" customWidth="1" min="7" max="7"/>
    <col width="25" customWidth="1" min="8" max="8"/>
    <col width="17" customWidth="1" min="9" max="9"/>
    <col width="4" customWidth="1" min="10" max="10"/>
    <col width="14" customWidth="1" min="11" max="11"/>
    <col width="19" customWidth="1" min="12" max="12"/>
    <col width="4" customWidth="1" min="13" max="13"/>
    <col width="28" customWidth="1" min="14" max="14"/>
    <col width="16" customWidth="1" min="15" max="15"/>
    <col width="4" customWidth="1" min="16" max="16"/>
    <col width="4" customWidth="1" min="17" max="17"/>
    <col width="4" customWidth="1" min="18" max="18"/>
  </cols>
  <sheetData>
    <row r="1" ht="30" customHeight="1">
      <c r="A1" s="11" t="inlineStr">
        <is>
          <t>Painel Gerencial — Controle de Combustível</t>
        </is>
      </c>
    </row>
    <row r="2">
      <c r="A2" s="12" t="inlineStr">
        <is>
          <t>Indicadores consolidados de todas as linhas operacionais e tendência diária configurável.</t>
        </is>
      </c>
    </row>
    <row r="3">
      <c r="A3" s="13" t="inlineStr">
        <is>
          <t>Indicador</t>
        </is>
      </c>
      <c r="B3" s="13" t="inlineStr">
        <is>
          <t>Valor</t>
        </is>
      </c>
      <c r="D3" s="13" t="inlineStr">
        <is>
          <t>Indicador</t>
        </is>
      </c>
      <c r="E3" s="13" t="inlineStr">
        <is>
          <t>Valor</t>
        </is>
      </c>
      <c r="N3" s="13" t="inlineStr">
        <is>
          <t>Parâmetro da tendência</t>
        </is>
      </c>
      <c r="O3" s="13" t="inlineStr">
        <is>
          <t>Valor</t>
        </is>
      </c>
    </row>
    <row r="4">
      <c r="A4" s="14" t="inlineStr">
        <is>
          <t>Total gasto com combustível</t>
        </is>
      </c>
      <c r="B4" s="8">
        <f>SUM('Abastecimentos'!$O$2:$O$101)</f>
        <v/>
      </c>
      <c r="D4" s="14" t="inlineStr">
        <is>
          <t>Preço médio por litro</t>
        </is>
      </c>
      <c r="E4" s="8">
        <f>IFERROR(AVERAGE('Abastecimentos'!$N$2:$N$101),0)</f>
        <v/>
      </c>
      <c r="N4" s="14" t="inlineStr">
        <is>
          <t>Data inicial</t>
        </is>
      </c>
      <c r="O4" s="35" t="n">
        <v>46023</v>
      </c>
    </row>
    <row r="5">
      <c r="A5" s="14" t="inlineStr">
        <is>
          <t>Total de litros abastecidos</t>
        </is>
      </c>
      <c r="B5" s="6">
        <f>SUM('Abastecimentos'!$M$2:$M$101)</f>
        <v/>
      </c>
      <c r="D5" s="14" t="inlineStr">
        <is>
          <t>Quantidade de abastecimentos</t>
        </is>
      </c>
      <c r="E5" s="15">
        <f>COUNTIF('Abastecimentos'!$A$2:$A$101,"&gt;0")</f>
        <v/>
      </c>
      <c r="N5" s="14" t="inlineStr">
        <is>
          <t>Dias analisados</t>
        </is>
      </c>
      <c r="O5" s="16" t="n">
        <v>31</v>
      </c>
    </row>
    <row r="6">
      <c r="A6" s="14" t="inlineStr">
        <is>
          <t>Distância total percorrida</t>
        </is>
      </c>
      <c r="B6" s="6">
        <f>SUM('Abastecimentos'!$L$2:$L$101)</f>
        <v/>
      </c>
      <c r="D6" s="14" t="inlineStr">
        <is>
          <t>Abastecimentos em atenção</t>
        </is>
      </c>
      <c r="E6" s="15">
        <f>COUNTIF('Abastecimentos'!$T$2:$T$101,"Atenção")</f>
        <v/>
      </c>
    </row>
    <row r="7">
      <c r="A7" s="14" t="inlineStr">
        <is>
          <t>Média geral de km/l</t>
        </is>
      </c>
      <c r="B7" s="6">
        <f>IFERROR($B$6/$B$5,0)</f>
        <v/>
      </c>
      <c r="D7" s="14" t="inlineStr">
        <is>
          <t>Percentual em atenção</t>
        </is>
      </c>
      <c r="E7" s="17">
        <f>IFERROR($E$6/$E$5,0)</f>
        <v/>
      </c>
    </row>
    <row r="8"/>
    <row r="9"/>
    <row r="10"/>
    <row r="11">
      <c r="A11" s="13" t="inlineStr">
        <is>
          <t>Tipo de combustível</t>
        </is>
      </c>
      <c r="B11" s="13" t="inlineStr">
        <is>
          <t>Preço referência (R$)</t>
        </is>
      </c>
      <c r="C11" s="13" t="inlineStr">
        <is>
          <t>Litros totais</t>
        </is>
      </c>
      <c r="D11" s="13" t="inlineStr">
        <is>
          <t>Gasto total (R$)</t>
        </is>
      </c>
      <c r="E11" s="13" t="inlineStr">
        <is>
          <t>Abastecimentos</t>
        </is>
      </c>
      <c r="F11" s="13" t="inlineStr">
        <is>
          <t>Média km/l</t>
        </is>
      </c>
      <c r="H11" s="13" t="inlineStr">
        <is>
          <t>Veículo</t>
        </is>
      </c>
      <c r="I11" s="13" t="inlineStr">
        <is>
          <t>Média km/l</t>
        </is>
      </c>
      <c r="K11" s="13" t="inlineStr">
        <is>
          <t>Data da tendência</t>
        </is>
      </c>
      <c r="L11" s="13" t="inlineStr">
        <is>
          <t>Gasto diário (R$)</t>
        </is>
      </c>
    </row>
    <row r="12">
      <c r="A12" s="18" t="inlineStr">
        <is>
          <t>Gasolina</t>
        </is>
      </c>
      <c r="B12" s="19">
        <f>IFERROR(VLOOKUP($A12,'Instruções'!$A$12:$B$15,2,0),0)</f>
        <v/>
      </c>
      <c r="C12" s="20">
        <f>IF($A12="","",SUMIF('Abastecimentos'!$I$2:$I$101,$A12,'Abastecimentos'!$M$2:$M$101))</f>
        <v/>
      </c>
      <c r="D12" s="19">
        <f>IF($A12="","",SUMIF('Abastecimentos'!$I$2:$I$101,$A12,'Abastecimentos'!$O$2:$O$101))</f>
        <v/>
      </c>
      <c r="E12" s="21">
        <f>IF($A12="","",COUNTIF('Abastecimentos'!$I$2:$I$101,$A12))</f>
        <v/>
      </c>
      <c r="F12" s="20">
        <f>IF($A12="","",IFERROR(SUMIF('Abastecimentos'!$I$2:$I$101,$A12,'Abastecimentos'!$L$2:$L$101)/$C12,0))</f>
        <v/>
      </c>
      <c r="H12" s="14" t="inlineStr">
        <is>
          <t>Fiat Strada</t>
        </is>
      </c>
      <c r="I12" s="20">
        <f>IF($H12="","",IFERROR(SUMIF('Abastecimentos'!$C$2:$C$101,$H12,'Abastecimentos'!$L$2:$L$101)/SUMIF('Abastecimentos'!$C$2:$C$101,$H12,'Abastecimentos'!$M$2:$M$101),0))</f>
        <v/>
      </c>
      <c r="K12" s="36">
        <f>IF($O$4="","",$O$4)</f>
        <v/>
      </c>
      <c r="L12" s="19">
        <f>IF($K12="","",SUMIF('Abastecimentos'!$B$2:$B$101,$K12,'Abastecimentos'!$O$2:$O$101))</f>
        <v/>
      </c>
    </row>
    <row r="13">
      <c r="A13" s="23" t="inlineStr">
        <is>
          <t>Etanol</t>
        </is>
      </c>
      <c r="B13" s="24">
        <f>IFERROR(VLOOKUP($A13,'Instruções'!$A$12:$B$15,2,0),0)</f>
        <v/>
      </c>
      <c r="C13" s="25">
        <f>IF($A13="","",SUMIF('Abastecimentos'!$I$2:$I$101,$A13,'Abastecimentos'!$M$2:$M$101))</f>
        <v/>
      </c>
      <c r="D13" s="24">
        <f>IF($A13="","",SUMIF('Abastecimentos'!$I$2:$I$101,$A13,'Abastecimentos'!$O$2:$O$101))</f>
        <v/>
      </c>
      <c r="E13" s="26">
        <f>IF($A13="","",COUNTIF('Abastecimentos'!$I$2:$I$101,$A13))</f>
        <v/>
      </c>
      <c r="F13" s="25">
        <f>IF($A13="","",IFERROR(SUMIF('Abastecimentos'!$I$2:$I$101,$A13,'Abastecimentos'!$L$2:$L$101)/$C13,0))</f>
        <v/>
      </c>
      <c r="H13" s="27" t="inlineStr">
        <is>
          <t>Volkswagen Saveiro</t>
        </is>
      </c>
      <c r="I13" s="25">
        <f>IF($H13="","",IFERROR(SUMIF('Abastecimentos'!$C$2:$C$101,$H13,'Abastecimentos'!$L$2:$L$101)/SUMIF('Abastecimentos'!$C$2:$C$101,$H13,'Abastecimentos'!$M$2:$M$101),0))</f>
        <v/>
      </c>
      <c r="K13" s="37">
        <f>IF(OR($K12="",$O$5&lt;3),"",$K12+1)</f>
        <v/>
      </c>
      <c r="L13" s="24">
        <f>IF($K13="","",SUMIF('Abastecimentos'!$B$2:$B$101,$K13,'Abastecimentos'!$O$2:$O$101))</f>
        <v/>
      </c>
    </row>
    <row r="14">
      <c r="A14" s="18" t="inlineStr">
        <is>
          <t>Diesel</t>
        </is>
      </c>
      <c r="B14" s="19">
        <f>IFERROR(VLOOKUP($A14,'Instruções'!$A$12:$B$15,2,0),0)</f>
        <v/>
      </c>
      <c r="C14" s="20">
        <f>IF($A14="","",SUMIF('Abastecimentos'!$I$2:$I$101,$A14,'Abastecimentos'!$M$2:$M$101))</f>
        <v/>
      </c>
      <c r="D14" s="19">
        <f>IF($A14="","",SUMIF('Abastecimentos'!$I$2:$I$101,$A14,'Abastecimentos'!$O$2:$O$101))</f>
        <v/>
      </c>
      <c r="E14" s="21">
        <f>IF($A14="","",COUNTIF('Abastecimentos'!$I$2:$I$101,$A14))</f>
        <v/>
      </c>
      <c r="F14" s="20">
        <f>IF($A14="","",IFERROR(SUMIF('Abastecimentos'!$I$2:$I$101,$A14,'Abastecimentos'!$L$2:$L$101)/$C14,0))</f>
        <v/>
      </c>
      <c r="H14" s="14" t="inlineStr">
        <is>
          <t>Chevrolet Onix</t>
        </is>
      </c>
      <c r="I14" s="20">
        <f>IF($H14="","",IFERROR(SUMIF('Abastecimentos'!$C$2:$C$101,$H14,'Abastecimentos'!$L$2:$L$101)/SUMIF('Abastecimentos'!$C$2:$C$101,$H14,'Abastecimentos'!$M$2:$M$101),0))</f>
        <v/>
      </c>
      <c r="K14" s="36">
        <f>IF(OR($K13="",$O$5&lt;4),"",$K13+1)</f>
        <v/>
      </c>
      <c r="L14" s="19">
        <f>IF($K14="","",SUMIF('Abastecimentos'!$B$2:$B$101,$K14,'Abastecimentos'!$O$2:$O$101))</f>
        <v/>
      </c>
    </row>
    <row r="15">
      <c r="A15" s="23" t="inlineStr">
        <is>
          <t>GNV</t>
        </is>
      </c>
      <c r="B15" s="24">
        <f>IFERROR(VLOOKUP($A15,'Instruções'!$A$12:$B$15,2,0),0)</f>
        <v/>
      </c>
      <c r="C15" s="25">
        <f>IF($A15="","",SUMIF('Abastecimentos'!$I$2:$I$101,$A15,'Abastecimentos'!$M$2:$M$101))</f>
        <v/>
      </c>
      <c r="D15" s="24">
        <f>IF($A15="","",SUMIF('Abastecimentos'!$I$2:$I$101,$A15,'Abastecimentos'!$O$2:$O$101))</f>
        <v/>
      </c>
      <c r="E15" s="26">
        <f>IF($A15="","",COUNTIF('Abastecimentos'!$I$2:$I$101,$A15))</f>
        <v/>
      </c>
      <c r="F15" s="25">
        <f>IF($A15="","",IFERROR(SUMIF('Abastecimentos'!$I$2:$I$101,$A15,'Abastecimentos'!$L$2:$L$101)/$C15,0))</f>
        <v/>
      </c>
      <c r="H15" s="27" t="inlineStr">
        <is>
          <t>Renault Master</t>
        </is>
      </c>
      <c r="I15" s="25">
        <f>IF($H15="","",IFERROR(SUMIF('Abastecimentos'!$C$2:$C$101,$H15,'Abastecimentos'!$L$2:$L$101)/SUMIF('Abastecimentos'!$C$2:$C$101,$H15,'Abastecimentos'!$M$2:$M$101),0))</f>
        <v/>
      </c>
      <c r="K15" s="37">
        <f>IF(OR($K14="",$O$5&lt;5),"",$K14+1)</f>
        <v/>
      </c>
      <c r="L15" s="24">
        <f>IF($K15="","",SUMIF('Abastecimentos'!$B$2:$B$101,$K15,'Abastecimentos'!$O$2:$O$101))</f>
        <v/>
      </c>
    </row>
    <row r="16">
      <c r="H16" s="14" t="inlineStr">
        <is>
          <t>Toyota Corolla</t>
        </is>
      </c>
      <c r="I16" s="20">
        <f>IF($H16="","",IFERROR(SUMIF('Abastecimentos'!$C$2:$C$101,$H16,'Abastecimentos'!$L$2:$L$101)/SUMIF('Abastecimentos'!$C$2:$C$101,$H16,'Abastecimentos'!$M$2:$M$101),0))</f>
        <v/>
      </c>
      <c r="K16" s="36">
        <f>IF(OR($K15="",$O$5&lt;6),"",$K15+1)</f>
        <v/>
      </c>
      <c r="L16" s="19">
        <f>IF($K16="","",SUMIF('Abastecimentos'!$B$2:$B$101,$K16,'Abastecimentos'!$O$2:$O$101))</f>
        <v/>
      </c>
    </row>
    <row r="17">
      <c r="K17" s="37">
        <f>IF(OR($K16="",$O$5&lt;7),"",$K16+1)</f>
        <v/>
      </c>
      <c r="L17" s="24">
        <f>IF($K17="","",SUMIF('Abastecimentos'!$B$2:$B$101,$K17,'Abastecimentos'!$O$2:$O$101))</f>
        <v/>
      </c>
    </row>
    <row r="18">
      <c r="K18" s="36">
        <f>IF(OR($K17="",$O$5&lt;8),"",$K17+1)</f>
        <v/>
      </c>
      <c r="L18" s="19">
        <f>IF($K18="","",SUMIF('Abastecimentos'!$B$2:$B$101,$K18,'Abastecimentos'!$O$2:$O$101))</f>
        <v/>
      </c>
    </row>
    <row r="19">
      <c r="K19" s="37">
        <f>IF(OR($K18="",$O$5&lt;9),"",$K18+1)</f>
        <v/>
      </c>
      <c r="L19" s="24">
        <f>IF($K19="","",SUMIF('Abastecimentos'!$B$2:$B$101,$K19,'Abastecimentos'!$O$2:$O$101))</f>
        <v/>
      </c>
    </row>
    <row r="20">
      <c r="K20" s="36">
        <f>IF(OR($K19="",$O$5&lt;10),"",$K19+1)</f>
        <v/>
      </c>
      <c r="L20" s="19">
        <f>IF($K20="","",SUMIF('Abastecimentos'!$B$2:$B$101,$K20,'Abastecimentos'!$O$2:$O$101))</f>
        <v/>
      </c>
    </row>
    <row r="21">
      <c r="K21" s="37">
        <f>IF(OR($K20="",$O$5&lt;11),"",$K20+1)</f>
        <v/>
      </c>
      <c r="L21" s="24">
        <f>IF($K21="","",SUMIF('Abastecimentos'!$B$2:$B$101,$K21,'Abastecimentos'!$O$2:$O$101))</f>
        <v/>
      </c>
    </row>
    <row r="22">
      <c r="K22" s="36">
        <f>IF(OR($K21="",$O$5&lt;12),"",$K21+1)</f>
        <v/>
      </c>
      <c r="L22" s="19">
        <f>IF($K22="","",SUMIF('Abastecimentos'!$B$2:$B$101,$K22,'Abastecimentos'!$O$2:$O$101))</f>
        <v/>
      </c>
    </row>
    <row r="23">
      <c r="K23" s="37">
        <f>IF(OR($K22="",$O$5&lt;13),"",$K22+1)</f>
        <v/>
      </c>
      <c r="L23" s="24">
        <f>IF($K23="","",SUMIF('Abastecimentos'!$B$2:$B$101,$K23,'Abastecimentos'!$O$2:$O$101))</f>
        <v/>
      </c>
    </row>
    <row r="24">
      <c r="K24" s="36">
        <f>IF(OR($K23="",$O$5&lt;14),"",$K23+1)</f>
        <v/>
      </c>
      <c r="L24" s="19">
        <f>IF($K24="","",SUMIF('Abastecimentos'!$B$2:$B$101,$K24,'Abastecimentos'!$O$2:$O$101))</f>
        <v/>
      </c>
    </row>
    <row r="25">
      <c r="K25" s="37">
        <f>IF(OR($K24="",$O$5&lt;15),"",$K24+1)</f>
        <v/>
      </c>
      <c r="L25" s="24">
        <f>IF($K25="","",SUMIF('Abastecimentos'!$B$2:$B$101,$K25,'Abastecimentos'!$O$2:$O$101))</f>
        <v/>
      </c>
    </row>
    <row r="26">
      <c r="K26" s="36">
        <f>IF(OR($K25="",$O$5&lt;16),"",$K25+1)</f>
        <v/>
      </c>
      <c r="L26" s="19">
        <f>IF($K26="","",SUMIF('Abastecimentos'!$B$2:$B$101,$K26,'Abastecimentos'!$O$2:$O$101))</f>
        <v/>
      </c>
    </row>
    <row r="27">
      <c r="K27" s="37">
        <f>IF(OR($K26="",$O$5&lt;17),"",$K26+1)</f>
        <v/>
      </c>
      <c r="L27" s="24">
        <f>IF($K27="","",SUMIF('Abastecimentos'!$B$2:$B$101,$K27,'Abastecimentos'!$O$2:$O$101))</f>
        <v/>
      </c>
    </row>
    <row r="28">
      <c r="K28" s="36">
        <f>IF(OR($K27="",$O$5&lt;18),"",$K27+1)</f>
        <v/>
      </c>
      <c r="L28" s="19">
        <f>IF($K28="","",SUMIF('Abastecimentos'!$B$2:$B$101,$K28,'Abastecimentos'!$O$2:$O$101))</f>
        <v/>
      </c>
    </row>
    <row r="29">
      <c r="K29" s="37">
        <f>IF(OR($K28="",$O$5&lt;19),"",$K28+1)</f>
        <v/>
      </c>
      <c r="L29" s="24">
        <f>IF($K29="","",SUMIF('Abastecimentos'!$B$2:$B$101,$K29,'Abastecimentos'!$O$2:$O$101))</f>
        <v/>
      </c>
    </row>
    <row r="30">
      <c r="K30" s="36">
        <f>IF(OR($K29="",$O$5&lt;20),"",$K29+1)</f>
        <v/>
      </c>
      <c r="L30" s="19">
        <f>IF($K30="","",SUMIF('Abastecimentos'!$B$2:$B$101,$K30,'Abastecimentos'!$O$2:$O$101))</f>
        <v/>
      </c>
    </row>
    <row r="31">
      <c r="K31" s="37">
        <f>IF(OR($K30="",$O$5&lt;21),"",$K30+1)</f>
        <v/>
      </c>
      <c r="L31" s="24">
        <f>IF($K31="","",SUMIF('Abastecimentos'!$B$2:$B$101,$K31,'Abastecimentos'!$O$2:$O$101))</f>
        <v/>
      </c>
    </row>
    <row r="32">
      <c r="K32" s="36">
        <f>IF(OR($K31="",$O$5&lt;22),"",$K31+1)</f>
        <v/>
      </c>
      <c r="L32" s="19">
        <f>IF($K32="","",SUMIF('Abastecimentos'!$B$2:$B$101,$K32,'Abastecimentos'!$O$2:$O$101))</f>
        <v/>
      </c>
    </row>
    <row r="33">
      <c r="K33" s="37">
        <f>IF(OR($K32="",$O$5&lt;23),"",$K32+1)</f>
        <v/>
      </c>
      <c r="L33" s="24">
        <f>IF($K33="","",SUMIF('Abastecimentos'!$B$2:$B$101,$K33,'Abastecimentos'!$O$2:$O$101))</f>
        <v/>
      </c>
    </row>
    <row r="34">
      <c r="K34" s="36">
        <f>IF(OR($K33="",$O$5&lt;24),"",$K33+1)</f>
        <v/>
      </c>
      <c r="L34" s="19">
        <f>IF($K34="","",SUMIF('Abastecimentos'!$B$2:$B$101,$K34,'Abastecimentos'!$O$2:$O$101))</f>
        <v/>
      </c>
    </row>
    <row r="35">
      <c r="K35" s="37">
        <f>IF(OR($K34="",$O$5&lt;25),"",$K34+1)</f>
        <v/>
      </c>
      <c r="L35" s="24">
        <f>IF($K35="","",SUMIF('Abastecimentos'!$B$2:$B$101,$K35,'Abastecimentos'!$O$2:$O$101))</f>
        <v/>
      </c>
    </row>
    <row r="36">
      <c r="K36" s="36">
        <f>IF(OR($K35="",$O$5&lt;26),"",$K35+1)</f>
        <v/>
      </c>
      <c r="L36" s="19">
        <f>IF($K36="","",SUMIF('Abastecimentos'!$B$2:$B$101,$K36,'Abastecimentos'!$O$2:$O$101))</f>
        <v/>
      </c>
    </row>
    <row r="37">
      <c r="K37" s="37">
        <f>IF(OR($K36="",$O$5&lt;27),"",$K36+1)</f>
        <v/>
      </c>
      <c r="L37" s="24">
        <f>IF($K37="","",SUMIF('Abastecimentos'!$B$2:$B$101,$K37,'Abastecimentos'!$O$2:$O$101))</f>
        <v/>
      </c>
    </row>
    <row r="38">
      <c r="K38" s="36">
        <f>IF(OR($K37="",$O$5&lt;28),"",$K37+1)</f>
        <v/>
      </c>
      <c r="L38" s="19">
        <f>IF($K38="","",SUMIF('Abastecimentos'!$B$2:$B$101,$K38,'Abastecimentos'!$O$2:$O$101))</f>
        <v/>
      </c>
    </row>
    <row r="39">
      <c r="K39" s="37">
        <f>IF(OR($K38="",$O$5&lt;29),"",$K38+1)</f>
        <v/>
      </c>
      <c r="L39" s="24">
        <f>IF($K39="","",SUMIF('Abastecimentos'!$B$2:$B$101,$K39,'Abastecimentos'!$O$2:$O$101))</f>
        <v/>
      </c>
    </row>
    <row r="40">
      <c r="K40" s="36">
        <f>IF(OR($K39="",$O$5&lt;30),"",$K39+1)</f>
        <v/>
      </c>
      <c r="L40" s="19">
        <f>IF($K40="","",SUMIF('Abastecimentos'!$B$2:$B$101,$K40,'Abastecimentos'!$O$2:$O$101))</f>
        <v/>
      </c>
    </row>
    <row r="41">
      <c r="K41" s="37">
        <f>IF(OR($K40="",$O$5&lt;31),"",$K40+1)</f>
        <v/>
      </c>
      <c r="L41" s="24">
        <f>IF($K41="","",SUMIF('Abastecimentos'!$B$2:$B$101,$K41,'Abastecimentos'!$O$2:$O$101))</f>
        <v/>
      </c>
    </row>
    <row r="42">
      <c r="K42" s="36">
        <f>IF(OR($K41="",$O$5&lt;32),"",$K41+1)</f>
        <v/>
      </c>
      <c r="L42" s="19">
        <f>IF($K42="","",SUMIF('Abastecimentos'!$B$2:$B$101,$K42,'Abastecimentos'!$O$2:$O$101))</f>
        <v/>
      </c>
    </row>
    <row r="43">
      <c r="K43" s="37">
        <f>IF(OR($K42="",$O$5&lt;33),"",$K42+1)</f>
        <v/>
      </c>
      <c r="L43" s="24">
        <f>IF($K43="","",SUMIF('Abastecimentos'!$B$2:$B$101,$K43,'Abastecimentos'!$O$2:$O$101))</f>
        <v/>
      </c>
    </row>
    <row r="44">
      <c r="K44" s="36">
        <f>IF(OR($K43="",$O$5&lt;34),"",$K43+1)</f>
        <v/>
      </c>
      <c r="L44" s="19">
        <f>IF($K44="","",SUMIF('Abastecimentos'!$B$2:$B$101,$K44,'Abastecimentos'!$O$2:$O$101))</f>
        <v/>
      </c>
    </row>
    <row r="45">
      <c r="K45" s="37">
        <f>IF(OR($K44="",$O$5&lt;35),"",$K44+1)</f>
        <v/>
      </c>
      <c r="L45" s="24">
        <f>IF($K45="","",SUMIF('Abastecimentos'!$B$2:$B$101,$K45,'Abastecimentos'!$O$2:$O$101))</f>
        <v/>
      </c>
    </row>
    <row r="46">
      <c r="K46" s="36">
        <f>IF(OR($K45="",$O$5&lt;36),"",$K45+1)</f>
        <v/>
      </c>
      <c r="L46" s="19">
        <f>IF($K46="","",SUMIF('Abastecimentos'!$B$2:$B$101,$K46,'Abastecimentos'!$O$2:$O$101))</f>
        <v/>
      </c>
    </row>
    <row r="47">
      <c r="K47" s="37">
        <f>IF(OR($K46="",$O$5&lt;37),"",$K46+1)</f>
        <v/>
      </c>
      <c r="L47" s="24">
        <f>IF($K47="","",SUMIF('Abastecimentos'!$B$2:$B$101,$K47,'Abastecimentos'!$O$2:$O$101))</f>
        <v/>
      </c>
    </row>
    <row r="48">
      <c r="K48" s="36">
        <f>IF(OR($K47="",$O$5&lt;38),"",$K47+1)</f>
        <v/>
      </c>
      <c r="L48" s="19">
        <f>IF($K48="","",SUMIF('Abastecimentos'!$B$2:$B$101,$K48,'Abastecimentos'!$O$2:$O$101))</f>
        <v/>
      </c>
    </row>
    <row r="49">
      <c r="K49" s="37">
        <f>IF(OR($K48="",$O$5&lt;39),"",$K48+1)</f>
        <v/>
      </c>
      <c r="L49" s="24">
        <f>IF($K49="","",SUMIF('Abastecimentos'!$B$2:$B$101,$K49,'Abastecimentos'!$O$2:$O$101))</f>
        <v/>
      </c>
    </row>
    <row r="50">
      <c r="K50" s="36">
        <f>IF(OR($K49="",$O$5&lt;40),"",$K49+1)</f>
        <v/>
      </c>
      <c r="L50" s="19">
        <f>IF($K50="","",SUMIF('Abastecimentos'!$B$2:$B$101,$K50,'Abastecimentos'!$O$2:$O$101))</f>
        <v/>
      </c>
    </row>
    <row r="51">
      <c r="K51" s="37">
        <f>IF(OR($K50="",$O$5&lt;41),"",$K50+1)</f>
        <v/>
      </c>
      <c r="L51" s="24">
        <f>IF($K51="","",SUMIF('Abastecimentos'!$B$2:$B$101,$K51,'Abastecimentos'!$O$2:$O$101))</f>
        <v/>
      </c>
    </row>
    <row r="52">
      <c r="K52" s="36">
        <f>IF(OR($K51="",$O$5&lt;42),"",$K51+1)</f>
        <v/>
      </c>
      <c r="L52" s="19">
        <f>IF($K52="","",SUMIF('Abastecimentos'!$B$2:$B$101,$K52,'Abastecimentos'!$O$2:$O$101))</f>
        <v/>
      </c>
    </row>
    <row r="53">
      <c r="K53" s="37">
        <f>IF(OR($K52="",$O$5&lt;43),"",$K52+1)</f>
        <v/>
      </c>
      <c r="L53" s="24">
        <f>IF($K53="","",SUMIF('Abastecimentos'!$B$2:$B$101,$K53,'Abastecimentos'!$O$2:$O$101))</f>
        <v/>
      </c>
    </row>
    <row r="54">
      <c r="K54" s="36">
        <f>IF(OR($K53="",$O$5&lt;44),"",$K53+1)</f>
        <v/>
      </c>
      <c r="L54" s="19">
        <f>IF($K54="","",SUMIF('Abastecimentos'!$B$2:$B$101,$K54,'Abastecimentos'!$O$2:$O$101))</f>
        <v/>
      </c>
    </row>
    <row r="55">
      <c r="K55" s="37">
        <f>IF(OR($K54="",$O$5&lt;45),"",$K54+1)</f>
        <v/>
      </c>
      <c r="L55" s="24">
        <f>IF($K55="","",SUMIF('Abastecimentos'!$B$2:$B$101,$K55,'Abastecimentos'!$O$2:$O$101))</f>
        <v/>
      </c>
    </row>
    <row r="56">
      <c r="K56" s="36">
        <f>IF(OR($K55="",$O$5&lt;46),"",$K55+1)</f>
        <v/>
      </c>
      <c r="L56" s="19">
        <f>IF($K56="","",SUMIF('Abastecimentos'!$B$2:$B$101,$K56,'Abastecimentos'!$O$2:$O$101))</f>
        <v/>
      </c>
    </row>
    <row r="57">
      <c r="K57" s="37">
        <f>IF(OR($K56="",$O$5&lt;47),"",$K56+1)</f>
        <v/>
      </c>
      <c r="L57" s="24">
        <f>IF($K57="","",SUMIF('Abastecimentos'!$B$2:$B$101,$K57,'Abastecimentos'!$O$2:$O$101))</f>
        <v/>
      </c>
    </row>
    <row r="58">
      <c r="K58" s="36">
        <f>IF(OR($K57="",$O$5&lt;48),"",$K57+1)</f>
        <v/>
      </c>
      <c r="L58" s="19">
        <f>IF($K58="","",SUMIF('Abastecimentos'!$B$2:$B$101,$K58,'Abastecimentos'!$O$2:$O$101))</f>
        <v/>
      </c>
    </row>
    <row r="59">
      <c r="K59" s="37">
        <f>IF(OR($K58="",$O$5&lt;49),"",$K58+1)</f>
        <v/>
      </c>
      <c r="L59" s="24">
        <f>IF($K59="","",SUMIF('Abastecimentos'!$B$2:$B$101,$K59,'Abastecimentos'!$O$2:$O$101))</f>
        <v/>
      </c>
    </row>
    <row r="60">
      <c r="K60" s="36">
        <f>IF(OR($K59="",$O$5&lt;50),"",$K59+1)</f>
        <v/>
      </c>
      <c r="L60" s="19">
        <f>IF($K60="","",SUMIF('Abastecimentos'!$B$2:$B$101,$K60,'Abastecimentos'!$O$2:$O$101))</f>
        <v/>
      </c>
    </row>
    <row r="61">
      <c r="K61" s="37">
        <f>IF(OR($K60="",$O$5&lt;51),"",$K60+1)</f>
        <v/>
      </c>
      <c r="L61" s="24">
        <f>IF($K61="","",SUMIF('Abastecimentos'!$B$2:$B$101,$K61,'Abastecimentos'!$O$2:$O$101))</f>
        <v/>
      </c>
    </row>
    <row r="62">
      <c r="K62" s="36">
        <f>IF(OR($K61="",$O$5&lt;52),"",$K61+1)</f>
        <v/>
      </c>
      <c r="L62" s="19">
        <f>IF($K62="","",SUMIF('Abastecimentos'!$B$2:$B$101,$K62,'Abastecimentos'!$O$2:$O$101))</f>
        <v/>
      </c>
    </row>
    <row r="63">
      <c r="K63" s="37">
        <f>IF(OR($K62="",$O$5&lt;53),"",$K62+1)</f>
        <v/>
      </c>
      <c r="L63" s="24">
        <f>IF($K63="","",SUMIF('Abastecimentos'!$B$2:$B$101,$K63,'Abastecimentos'!$O$2:$O$101))</f>
        <v/>
      </c>
    </row>
    <row r="64">
      <c r="K64" s="36">
        <f>IF(OR($K63="",$O$5&lt;54),"",$K63+1)</f>
        <v/>
      </c>
      <c r="L64" s="19">
        <f>IF($K64="","",SUMIF('Abastecimentos'!$B$2:$B$101,$K64,'Abastecimentos'!$O$2:$O$101))</f>
        <v/>
      </c>
    </row>
    <row r="65">
      <c r="K65" s="37">
        <f>IF(OR($K64="",$O$5&lt;55),"",$K64+1)</f>
        <v/>
      </c>
      <c r="L65" s="24">
        <f>IF($K65="","",SUMIF('Abastecimentos'!$B$2:$B$101,$K65,'Abastecimentos'!$O$2:$O$101))</f>
        <v/>
      </c>
    </row>
    <row r="66">
      <c r="K66" s="36">
        <f>IF(OR($K65="",$O$5&lt;56),"",$K65+1)</f>
        <v/>
      </c>
      <c r="L66" s="19">
        <f>IF($K66="","",SUMIF('Abastecimentos'!$B$2:$B$101,$K66,'Abastecimentos'!$O$2:$O$101))</f>
        <v/>
      </c>
    </row>
    <row r="67">
      <c r="K67" s="37">
        <f>IF(OR($K66="",$O$5&lt;57),"",$K66+1)</f>
        <v/>
      </c>
      <c r="L67" s="24">
        <f>IF($K67="","",SUMIF('Abastecimentos'!$B$2:$B$101,$K67,'Abastecimentos'!$O$2:$O$101))</f>
        <v/>
      </c>
    </row>
    <row r="68">
      <c r="K68" s="36">
        <f>IF(OR($K67="",$O$5&lt;58),"",$K67+1)</f>
        <v/>
      </c>
      <c r="L68" s="19">
        <f>IF($K68="","",SUMIF('Abastecimentos'!$B$2:$B$101,$K68,'Abastecimentos'!$O$2:$O$101))</f>
        <v/>
      </c>
    </row>
    <row r="69">
      <c r="K69" s="37">
        <f>IF(OR($K68="",$O$5&lt;59),"",$K68+1)</f>
        <v/>
      </c>
      <c r="L69" s="24">
        <f>IF($K69="","",SUMIF('Abastecimentos'!$B$2:$B$101,$K69,'Abastecimentos'!$O$2:$O$101))</f>
        <v/>
      </c>
    </row>
    <row r="70">
      <c r="K70" s="36">
        <f>IF(OR($K69="",$O$5&lt;60),"",$K69+1)</f>
        <v/>
      </c>
      <c r="L70" s="19">
        <f>IF($K70="","",SUMIF('Abastecimentos'!$B$2:$B$101,$K70,'Abastecimentos'!$O$2:$O$101))</f>
        <v/>
      </c>
    </row>
    <row r="71">
      <c r="K71" s="37">
        <f>IF(OR($K70="",$O$5&lt;61),"",$K70+1)</f>
        <v/>
      </c>
      <c r="L71" s="24">
        <f>IF($K71="","",SUMIF('Abastecimentos'!$B$2:$B$101,$K71,'Abastecimentos'!$O$2:$O$101))</f>
        <v/>
      </c>
    </row>
    <row r="72">
      <c r="K72" s="36">
        <f>IF(OR($K71="",$O$5&lt;62),"",$K71+1)</f>
        <v/>
      </c>
      <c r="L72" s="19">
        <f>IF($K72="","",SUMIF('Abastecimentos'!$B$2:$B$101,$K72,'Abastecimentos'!$O$2:$O$101))</f>
        <v/>
      </c>
    </row>
    <row r="73">
      <c r="K73" s="37">
        <f>IF(OR($K72="",$O$5&lt;63),"",$K72+1)</f>
        <v/>
      </c>
      <c r="L73" s="24">
        <f>IF($K73="","",SUMIF('Abastecimentos'!$B$2:$B$101,$K73,'Abastecimentos'!$O$2:$O$101))</f>
        <v/>
      </c>
    </row>
    <row r="74">
      <c r="K74" s="36">
        <f>IF(OR($K73="",$O$5&lt;64),"",$K73+1)</f>
        <v/>
      </c>
      <c r="L74" s="19">
        <f>IF($K74="","",SUMIF('Abastecimentos'!$B$2:$B$101,$K74,'Abastecimentos'!$O$2:$O$101))</f>
        <v/>
      </c>
    </row>
    <row r="75">
      <c r="K75" s="37">
        <f>IF(OR($K74="",$O$5&lt;65),"",$K74+1)</f>
        <v/>
      </c>
      <c r="L75" s="24">
        <f>IF($K75="","",SUMIF('Abastecimentos'!$B$2:$B$101,$K75,'Abastecimentos'!$O$2:$O$101))</f>
        <v/>
      </c>
    </row>
    <row r="76">
      <c r="K76" s="36">
        <f>IF(OR($K75="",$O$5&lt;66),"",$K75+1)</f>
        <v/>
      </c>
      <c r="L76" s="19">
        <f>IF($K76="","",SUMIF('Abastecimentos'!$B$2:$B$101,$K76,'Abastecimentos'!$O$2:$O$101))</f>
        <v/>
      </c>
    </row>
    <row r="77">
      <c r="K77" s="37">
        <f>IF(OR($K76="",$O$5&lt;67),"",$K76+1)</f>
        <v/>
      </c>
      <c r="L77" s="24">
        <f>IF($K77="","",SUMIF('Abastecimentos'!$B$2:$B$101,$K77,'Abastecimentos'!$O$2:$O$101))</f>
        <v/>
      </c>
    </row>
    <row r="78">
      <c r="K78" s="36">
        <f>IF(OR($K77="",$O$5&lt;68),"",$K77+1)</f>
        <v/>
      </c>
      <c r="L78" s="19">
        <f>IF($K78="","",SUMIF('Abastecimentos'!$B$2:$B$101,$K78,'Abastecimentos'!$O$2:$O$101))</f>
        <v/>
      </c>
    </row>
    <row r="79">
      <c r="K79" s="37">
        <f>IF(OR($K78="",$O$5&lt;69),"",$K78+1)</f>
        <v/>
      </c>
      <c r="L79" s="24">
        <f>IF($K79="","",SUMIF('Abastecimentos'!$B$2:$B$101,$K79,'Abastecimentos'!$O$2:$O$101))</f>
        <v/>
      </c>
    </row>
    <row r="80">
      <c r="K80" s="36">
        <f>IF(OR($K79="",$O$5&lt;70),"",$K79+1)</f>
        <v/>
      </c>
      <c r="L80" s="19">
        <f>IF($K80="","",SUMIF('Abastecimentos'!$B$2:$B$101,$K80,'Abastecimentos'!$O$2:$O$101))</f>
        <v/>
      </c>
    </row>
    <row r="81">
      <c r="K81" s="37">
        <f>IF(OR($K80="",$O$5&lt;71),"",$K80+1)</f>
        <v/>
      </c>
      <c r="L81" s="24">
        <f>IF($K81="","",SUMIF('Abastecimentos'!$B$2:$B$101,$K81,'Abastecimentos'!$O$2:$O$101))</f>
        <v/>
      </c>
    </row>
    <row r="82">
      <c r="K82" s="36">
        <f>IF(OR($K81="",$O$5&lt;72),"",$K81+1)</f>
        <v/>
      </c>
      <c r="L82" s="19">
        <f>IF($K82="","",SUMIF('Abastecimentos'!$B$2:$B$101,$K82,'Abastecimentos'!$O$2:$O$101))</f>
        <v/>
      </c>
    </row>
    <row r="83">
      <c r="K83" s="37">
        <f>IF(OR($K82="",$O$5&lt;73),"",$K82+1)</f>
        <v/>
      </c>
      <c r="L83" s="24">
        <f>IF($K83="","",SUMIF('Abastecimentos'!$B$2:$B$101,$K83,'Abastecimentos'!$O$2:$O$101))</f>
        <v/>
      </c>
    </row>
    <row r="84">
      <c r="K84" s="36">
        <f>IF(OR($K83="",$O$5&lt;74),"",$K83+1)</f>
        <v/>
      </c>
      <c r="L84" s="19">
        <f>IF($K84="","",SUMIF('Abastecimentos'!$B$2:$B$101,$K84,'Abastecimentos'!$O$2:$O$101))</f>
        <v/>
      </c>
    </row>
    <row r="85">
      <c r="K85" s="37">
        <f>IF(OR($K84="",$O$5&lt;75),"",$K84+1)</f>
        <v/>
      </c>
      <c r="L85" s="24">
        <f>IF($K85="","",SUMIF('Abastecimentos'!$B$2:$B$101,$K85,'Abastecimentos'!$O$2:$O$101))</f>
        <v/>
      </c>
    </row>
    <row r="86">
      <c r="K86" s="36">
        <f>IF(OR($K85="",$O$5&lt;76),"",$K85+1)</f>
        <v/>
      </c>
      <c r="L86" s="19">
        <f>IF($K86="","",SUMIF('Abastecimentos'!$B$2:$B$101,$K86,'Abastecimentos'!$O$2:$O$101))</f>
        <v/>
      </c>
    </row>
    <row r="87">
      <c r="K87" s="37">
        <f>IF(OR($K86="",$O$5&lt;77),"",$K86+1)</f>
        <v/>
      </c>
      <c r="L87" s="24">
        <f>IF($K87="","",SUMIF('Abastecimentos'!$B$2:$B$101,$K87,'Abastecimentos'!$O$2:$O$101))</f>
        <v/>
      </c>
    </row>
    <row r="88">
      <c r="K88" s="36">
        <f>IF(OR($K87="",$O$5&lt;78),"",$K87+1)</f>
        <v/>
      </c>
      <c r="L88" s="19">
        <f>IF($K88="","",SUMIF('Abastecimentos'!$B$2:$B$101,$K88,'Abastecimentos'!$O$2:$O$101))</f>
        <v/>
      </c>
    </row>
    <row r="89">
      <c r="K89" s="37">
        <f>IF(OR($K88="",$O$5&lt;79),"",$K88+1)</f>
        <v/>
      </c>
      <c r="L89" s="24">
        <f>IF($K89="","",SUMIF('Abastecimentos'!$B$2:$B$101,$K89,'Abastecimentos'!$O$2:$O$101))</f>
        <v/>
      </c>
    </row>
    <row r="90">
      <c r="K90" s="36">
        <f>IF(OR($K89="",$O$5&lt;80),"",$K89+1)</f>
        <v/>
      </c>
      <c r="L90" s="19">
        <f>IF($K90="","",SUMIF('Abastecimentos'!$B$2:$B$101,$K90,'Abastecimentos'!$O$2:$O$101))</f>
        <v/>
      </c>
    </row>
    <row r="91">
      <c r="K91" s="37">
        <f>IF(OR($K90="",$O$5&lt;81),"",$K90+1)</f>
        <v/>
      </c>
      <c r="L91" s="24">
        <f>IF($K91="","",SUMIF('Abastecimentos'!$B$2:$B$101,$K91,'Abastecimentos'!$O$2:$O$101))</f>
        <v/>
      </c>
    </row>
    <row r="92">
      <c r="K92" s="36">
        <f>IF(OR($K91="",$O$5&lt;82),"",$K91+1)</f>
        <v/>
      </c>
      <c r="L92" s="19">
        <f>IF($K92="","",SUMIF('Abastecimentos'!$B$2:$B$101,$K92,'Abastecimentos'!$O$2:$O$101))</f>
        <v/>
      </c>
    </row>
    <row r="93">
      <c r="K93" s="37">
        <f>IF(OR($K92="",$O$5&lt;83),"",$K92+1)</f>
        <v/>
      </c>
      <c r="L93" s="24">
        <f>IF($K93="","",SUMIF('Abastecimentos'!$B$2:$B$101,$K93,'Abastecimentos'!$O$2:$O$101))</f>
        <v/>
      </c>
    </row>
    <row r="94">
      <c r="K94" s="36">
        <f>IF(OR($K93="",$O$5&lt;84),"",$K93+1)</f>
        <v/>
      </c>
      <c r="L94" s="19">
        <f>IF($K94="","",SUMIF('Abastecimentos'!$B$2:$B$101,$K94,'Abastecimentos'!$O$2:$O$101))</f>
        <v/>
      </c>
    </row>
    <row r="95">
      <c r="K95" s="37">
        <f>IF(OR($K94="",$O$5&lt;85),"",$K94+1)</f>
        <v/>
      </c>
      <c r="L95" s="24">
        <f>IF($K95="","",SUMIF('Abastecimentos'!$B$2:$B$101,$K95,'Abastecimentos'!$O$2:$O$101))</f>
        <v/>
      </c>
    </row>
    <row r="96">
      <c r="K96" s="36">
        <f>IF(OR($K95="",$O$5&lt;86),"",$K95+1)</f>
        <v/>
      </c>
      <c r="L96" s="19">
        <f>IF($K96="","",SUMIF('Abastecimentos'!$B$2:$B$101,$K96,'Abastecimentos'!$O$2:$O$101))</f>
        <v/>
      </c>
    </row>
    <row r="97">
      <c r="K97" s="37">
        <f>IF(OR($K96="",$O$5&lt;87),"",$K96+1)</f>
        <v/>
      </c>
      <c r="L97" s="24">
        <f>IF($K97="","",SUMIF('Abastecimentos'!$B$2:$B$101,$K97,'Abastecimentos'!$O$2:$O$101))</f>
        <v/>
      </c>
    </row>
    <row r="98">
      <c r="K98" s="36">
        <f>IF(OR($K97="",$O$5&lt;88),"",$K97+1)</f>
        <v/>
      </c>
      <c r="L98" s="19">
        <f>IF($K98="","",SUMIF('Abastecimentos'!$B$2:$B$101,$K98,'Abastecimentos'!$O$2:$O$101))</f>
        <v/>
      </c>
    </row>
    <row r="99">
      <c r="K99" s="37">
        <f>IF(OR($K98="",$O$5&lt;89),"",$K98+1)</f>
        <v/>
      </c>
      <c r="L99" s="24">
        <f>IF($K99="","",SUMIF('Abastecimentos'!$B$2:$B$101,$K99,'Abastecimentos'!$O$2:$O$101))</f>
        <v/>
      </c>
    </row>
    <row r="100">
      <c r="K100" s="36">
        <f>IF(OR($K99="",$O$5&lt;90),"",$K99+1)</f>
        <v/>
      </c>
      <c r="L100" s="19">
        <f>IF($K100="","",SUMIF('Abastecimentos'!$B$2:$B$101,$K100,'Abastecimentos'!$O$2:$O$101))</f>
        <v/>
      </c>
    </row>
    <row r="101">
      <c r="K101" s="37">
        <f>IF(OR($K100="",$O$5&lt;91),"",$K100+1)</f>
        <v/>
      </c>
      <c r="L101" s="24">
        <f>IF($K101="","",SUMIF('Abastecimentos'!$B$2:$B$101,$K101,'Abastecimentos'!$O$2:$O$101))</f>
        <v/>
      </c>
    </row>
    <row r="102">
      <c r="K102" s="36">
        <f>IF(OR($K101="",$O$5&lt;92),"",$K101+1)</f>
        <v/>
      </c>
      <c r="L102" s="19">
        <f>IF($K102="","",SUMIF('Abastecimentos'!$B$2:$B$101,$K102,'Abastecimentos'!$O$2:$O$101))</f>
        <v/>
      </c>
    </row>
    <row r="103">
      <c r="K103" s="37">
        <f>IF(OR($K102="",$O$5&lt;93),"",$K102+1)</f>
        <v/>
      </c>
      <c r="L103" s="24">
        <f>IF($K103="","",SUMIF('Abastecimentos'!$B$2:$B$101,$K103,'Abastecimentos'!$O$2:$O$101))</f>
        <v/>
      </c>
    </row>
    <row r="104">
      <c r="K104" s="36">
        <f>IF(OR($K103="",$O$5&lt;94),"",$K103+1)</f>
        <v/>
      </c>
      <c r="L104" s="19">
        <f>IF($K104="","",SUMIF('Abastecimentos'!$B$2:$B$101,$K104,'Abastecimentos'!$O$2:$O$101))</f>
        <v/>
      </c>
    </row>
    <row r="105">
      <c r="K105" s="37">
        <f>IF(OR($K104="",$O$5&lt;95),"",$K104+1)</f>
        <v/>
      </c>
      <c r="L105" s="24">
        <f>IF($K105="","",SUMIF('Abastecimentos'!$B$2:$B$101,$K105,'Abastecimentos'!$O$2:$O$101))</f>
        <v/>
      </c>
    </row>
    <row r="106">
      <c r="K106" s="36">
        <f>IF(OR($K105="",$O$5&lt;96),"",$K105+1)</f>
        <v/>
      </c>
      <c r="L106" s="19">
        <f>IF($K106="","",SUMIF('Abastecimentos'!$B$2:$B$101,$K106,'Abastecimentos'!$O$2:$O$101))</f>
        <v/>
      </c>
    </row>
    <row r="107">
      <c r="K107" s="37">
        <f>IF(OR($K106="",$O$5&lt;97),"",$K106+1)</f>
        <v/>
      </c>
      <c r="L107" s="24">
        <f>IF($K107="","",SUMIF('Abastecimentos'!$B$2:$B$101,$K107,'Abastecimentos'!$O$2:$O$101))</f>
        <v/>
      </c>
    </row>
    <row r="108">
      <c r="K108" s="36">
        <f>IF(OR($K107="",$O$5&lt;98),"",$K107+1)</f>
        <v/>
      </c>
      <c r="L108" s="19">
        <f>IF($K108="","",SUMIF('Abastecimentos'!$B$2:$B$101,$K108,'Abastecimentos'!$O$2:$O$101))</f>
        <v/>
      </c>
    </row>
    <row r="109">
      <c r="K109" s="37">
        <f>IF(OR($K108="",$O$5&lt;99),"",$K108+1)</f>
        <v/>
      </c>
      <c r="L109" s="24">
        <f>IF($K109="","",SUMIF('Abastecimentos'!$B$2:$B$101,$K109,'Abastecimentos'!$O$2:$O$101))</f>
        <v/>
      </c>
    </row>
    <row r="110">
      <c r="K110" s="36">
        <f>IF(OR($K109="",$O$5&lt;100),"",$K109+1)</f>
        <v/>
      </c>
      <c r="L110" s="19">
        <f>IF($K110="","",SUMIF('Abastecimentos'!$B$2:$B$101,$K110,'Abastecimentos'!$O$2:$O$101))</f>
        <v/>
      </c>
    </row>
    <row r="111">
      <c r="K111" s="37">
        <f>IF(OR($K110="",$O$5&lt;101),"",$K110+1)</f>
        <v/>
      </c>
      <c r="L111" s="24">
        <f>IF($K111="","",SUMIF('Abastecimentos'!$B$2:$B$101,$K111,'Abastecimentos'!$O$2:$O$101))</f>
        <v/>
      </c>
    </row>
  </sheetData>
  <mergeCells count="1">
    <mergeCell ref="A1:R1"/>
  </mergeCells>
  <conditionalFormatting sqref="E6">
    <cfRule type="expression" priority="1" dxfId="0">
      <formula>$E$6&gt;0</formula>
    </cfRule>
  </conditionalFormatting>
  <conditionalFormatting sqref="E7">
    <cfRule type="expression" priority="2" dxfId="0">
      <formula>$E$7&gt;0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6B6D4"/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74" customWidth="1" min="2" max="2"/>
    <col width="4" customWidth="1" min="3" max="3"/>
    <col width="22" customWidth="1" min="4" max="4"/>
    <col width="42" customWidth="1" min="5" max="5"/>
    <col width="4" customWidth="1" min="6" max="6"/>
  </cols>
  <sheetData>
    <row r="1" ht="30" customHeight="1">
      <c r="A1" s="11" t="inlineStr">
        <is>
          <t>Instruções e Parâmetros de Referência</t>
        </is>
      </c>
    </row>
    <row r="2"/>
    <row r="3">
      <c r="A3" s="13" t="inlineStr">
        <is>
          <t>Tema</t>
        </is>
      </c>
      <c r="B3" s="13" t="inlineStr">
        <is>
          <t>Orientação operacional</t>
        </is>
      </c>
    </row>
    <row r="4" ht="38" customHeight="1">
      <c r="A4" s="29" t="inlineStr">
        <is>
          <t>Finalidade</t>
        </is>
      </c>
      <c r="B4" s="29" t="inlineStr">
        <is>
          <t>Consolidar os abastecimentos da frota, monitorar custos, consumo médio e ocorrências que demandem conferência.</t>
        </is>
      </c>
    </row>
    <row r="5" ht="38" customHeight="1">
      <c r="A5" s="30" t="inlineStr">
        <is>
          <t>Preenchimento</t>
        </is>
      </c>
      <c r="B5" s="30" t="inlineStr">
        <is>
          <t>Informe data, veículo, placa, motorista, centro de custo, posto, odômetro anterior e atual, litros, preço por litro e NF-e.</t>
        </is>
      </c>
    </row>
    <row r="6" ht="38" customHeight="1">
      <c r="A6" s="29" t="inlineStr">
        <is>
          <t>Consumo e divergências</t>
        </is>
      </c>
      <c r="B6" s="29" t="inlineStr">
        <is>
          <t>Médias inferiores a 6 km/l recebem status Atenção. Confirme rota, carga transportada, calibragem, manutenção e possível divergência de lançamento.</t>
        </is>
      </c>
    </row>
    <row r="7" ht="38" customHeight="1">
      <c r="A7" s="30" t="inlineStr">
        <is>
          <t>Comprovantes e política interna</t>
        </is>
      </c>
      <c r="B7" s="30" t="inlineStr">
        <is>
          <t>Anexe ou arquive o comprovante fiscal correspondente e siga os limites, aprovações e regras de reembolso definidos pela política interna.</t>
        </is>
      </c>
    </row>
    <row r="8" ht="38" customHeight="1">
      <c r="A8" s="29" t="inlineStr">
        <is>
          <t>Privacidade e LGPD</t>
        </is>
      </c>
      <c r="B8" s="29" t="inlineStr">
        <is>
          <t>Dados de motoristas devem ser utilizados apenas para finalidade operacional legítima, com acesso restrito e retenção conforme a política corporativa.</t>
        </is>
      </c>
    </row>
    <row r="9"/>
    <row r="10">
      <c r="A10" s="1" t="inlineStr">
        <is>
          <t>Preços médios de referência</t>
        </is>
      </c>
      <c r="D10" s="1" t="inlineStr">
        <is>
          <t>Legenda de cores</t>
        </is>
      </c>
    </row>
    <row r="11">
      <c r="A11" s="13" t="inlineStr">
        <is>
          <t>Tipo de combustível</t>
        </is>
      </c>
      <c r="B11" s="13" t="inlineStr">
        <is>
          <t>Preço médio de referência (R$)</t>
        </is>
      </c>
      <c r="D11" s="13" t="inlineStr">
        <is>
          <t>Cor</t>
        </is>
      </c>
      <c r="E11" s="13" t="inlineStr">
        <is>
          <t>Significado</t>
        </is>
      </c>
    </row>
    <row r="12">
      <c r="A12" s="14" t="inlineStr">
        <is>
          <t>Gasolina</t>
        </is>
      </c>
      <c r="B12" s="7" t="n">
        <v>6.49</v>
      </c>
      <c r="D12" s="2" t="inlineStr">
        <is>
          <t>Amarelo</t>
        </is>
      </c>
      <c r="E12" s="9" t="inlineStr">
        <is>
          <t>Campo de entrada editável</t>
        </is>
      </c>
    </row>
    <row r="13">
      <c r="A13" s="27" t="inlineStr">
        <is>
          <t>Etanol</t>
        </is>
      </c>
      <c r="B13" s="7" t="n">
        <v>5.89</v>
      </c>
      <c r="D13" s="31" t="inlineStr">
        <is>
          <t>Verde</t>
        </is>
      </c>
      <c r="E13" s="32" t="inlineStr">
        <is>
          <t>Resultado normal ou indicador positivo</t>
        </is>
      </c>
    </row>
    <row r="14">
      <c r="A14" s="14" t="inlineStr">
        <is>
          <t>Diesel</t>
        </is>
      </c>
      <c r="B14" s="7" t="n">
        <v>6.19</v>
      </c>
      <c r="D14" s="33" t="inlineStr">
        <is>
          <t>Vermelho</t>
        </is>
      </c>
      <c r="E14" s="34" t="inlineStr">
        <is>
          <t>Alerta de consumo ou necessidade de conferência</t>
        </is>
      </c>
    </row>
    <row r="15">
      <c r="A15" s="27" t="inlineStr">
        <is>
          <t>GNV</t>
        </is>
      </c>
      <c r="B15" s="7" t="n">
        <v>5.99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2026-09-08T21:08:44Z</dcterms:created>
  <dcterms:modified xmlns:dcterms="http://purl.org/dc/terms/" xmlns:xsi="http://www.w3.org/2001/XMLSchema-instance" xsi:type="dcterms:W3CDTF">2026-09-08T21:08:44Z</dcterms:modified>
</cp:coreProperties>
</file>