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'Lançamentos'!$A$6:$R$106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11827"/>
      <sz val="10"/>
    </font>
    <font>
      <name val="Aptos"/>
      <color rgb="00111827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b val="1"/>
      <color rgb="00111827"/>
      <sz val="12"/>
    </font>
  </fonts>
  <fills count="10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CFFAFE"/>
      </patternFill>
    </fill>
    <fill>
      <patternFill patternType="solid">
        <fgColor rgb="001E293B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ECFEFF"/>
      </patternFill>
    </fill>
    <fill>
      <patternFill patternType="solid">
        <fgColor rgb="00F8FAFC"/>
      </patternFill>
    </fill>
    <fill>
      <patternFill patternType="solid">
        <fgColor rgb="0006B6D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49" fontId="3" fillId="6" borderId="1" applyAlignment="1" pivotButton="0" quotePrefix="0" xfId="0">
      <alignment horizontal="left" vertical="center"/>
    </xf>
    <xf numFmtId="49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0" fontId="5" fillId="9" borderId="0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65" fontId="6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/>
    </xf>
    <xf numFmtId="165" fontId="3" fillId="8" borderId="1" applyAlignment="1" pivotButton="0" quotePrefix="0" xfId="0">
      <alignment horizontal="right" vertical="center"/>
    </xf>
    <xf numFmtId="1" fontId="6" fillId="3" borderId="1" applyAlignment="1" pivotButton="0" quotePrefix="0" xfId="0">
      <alignment horizontal="right" vertical="center"/>
    </xf>
    <xf numFmtId="164" fontId="3" fillId="8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center" vertical="center"/>
    </xf>
    <xf numFmtId="0" fontId="2" fillId="9" borderId="1" applyAlignment="1" pivotButton="0" quotePrefix="0" xfId="0">
      <alignment horizontal="left" vertical="center" wrapText="1"/>
    </xf>
    <xf numFmtId="0" fontId="3" fillId="8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F59E0B"/>
        </patternFill>
      </fill>
    </dxf>
    <dxf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Total previsto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'Resumo'!J6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'Resumo'!$H$7:$H$13</f>
            </numRef>
          </cat>
          <val>
            <numRef>
              <f>'Resumo'!$J$7:$J$13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previsto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'Resumo'!I16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'Resumo'!$H$17:$H$19</f>
            </numRef>
          </cat>
          <val>
            <numRef>
              <f>'Resumo'!$I$17:$I$19</f>
            </numRef>
          </val>
        </ser>
        <firstSliceAng val="27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 de contas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'Resumo'!B19</f>
            </strRef>
          </tx>
          <spPr>
            <a:ln xmlns:a="http://schemas.openxmlformats.org/drawingml/2006/main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'Resumo'!$A$20:$A$28</f>
            </numRef>
          </cat>
          <val>
            <numRef>
              <f>'Resumo'!$B$20:$B$28</f>
            </numRef>
          </val>
        </ser>
        <ser>
          <idx val="1"/>
          <order val="1"/>
          <tx>
            <strRef>
              <f>'Resumo'!C19</f>
            </strRef>
          </tx>
          <spPr>
            <a:ln xmlns:a="http://schemas.openxmlformats.org/drawingml/2006/main">
              <a:solidFill>
                <a:srgbClr val="11182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'Resumo'!$A$20:$A$28</f>
            </numRef>
          </cat>
          <val>
            <numRef>
              <f>'Resumo'!$C$20:$C$28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11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19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31</row>
      <rowOff>0</rowOff>
    </from>
    <ext cx="86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22" customWidth="1" min="4" max="4"/>
    <col width="28" customWidth="1" min="5" max="5"/>
    <col width="19" customWidth="1" min="6" max="6"/>
    <col width="16" customWidth="1" min="7" max="7"/>
    <col width="14" customWidth="1" min="8" max="8"/>
    <col width="16" customWidth="1" min="9" max="9"/>
    <col width="18" customWidth="1" min="10" max="10"/>
    <col width="18" customWidth="1" min="11" max="11"/>
    <col width="16" customWidth="1" min="12" max="12"/>
    <col width="16" customWidth="1" min="13" max="13"/>
    <col width="14" customWidth="1" min="14" max="14"/>
    <col width="16" customWidth="1" min="15" max="15"/>
    <col width="12" customWidth="1" min="16" max="16"/>
    <col width="23" customWidth="1" min="17" max="17"/>
    <col width="34" customWidth="1" min="18" max="18"/>
  </cols>
  <sheetData>
    <row r="1" ht="30" customHeight="1">
      <c r="A1" s="1" t="inlineStr">
        <is>
          <t>CONTAS | CONTROLE ANALÍTICO DE FLUXO FINANCEIRO</t>
        </is>
      </c>
    </row>
    <row r="2">
      <c r="A2" s="2" t="inlineStr">
        <is>
          <t>Base operacional para vencimentos, liquidações, inadimplência e orçamento por categoria.</t>
        </is>
      </c>
    </row>
    <row r="3"/>
    <row r="4">
      <c r="A4" s="3" t="inlineStr">
        <is>
          <t>Campos em amarelo-claro são editáveis. Campos em azul-claro são calculados automaticamente.</t>
        </is>
      </c>
    </row>
    <row r="5"/>
    <row r="6" ht="34" customHeight="1">
      <c r="A6" s="4" t="inlineStr">
        <is>
          <t>ID</t>
        </is>
      </c>
      <c r="B6" s="4" t="inlineStr">
        <is>
          <t>Tipo</t>
        </is>
      </c>
      <c r="C6" s="4" t="inlineStr">
        <is>
          <t>Descrição</t>
        </is>
      </c>
      <c r="D6" s="4" t="inlineStr">
        <is>
          <t>Categoria</t>
        </is>
      </c>
      <c r="E6" s="4" t="inlineStr">
        <is>
          <t>Cliente/Fornecedor</t>
        </is>
      </c>
      <c r="F6" s="4" t="inlineStr">
        <is>
          <t>CNPJ/CPF</t>
        </is>
      </c>
      <c r="G6" s="4" t="inlineStr">
        <is>
          <t>Cidade</t>
        </is>
      </c>
      <c r="H6" s="4" t="inlineStr">
        <is>
          <t>NF-e</t>
        </is>
      </c>
      <c r="I6" s="4" t="inlineStr">
        <is>
          <t>Data de emissão</t>
        </is>
      </c>
      <c r="J6" s="4" t="inlineStr">
        <is>
          <t>Data de vencimento</t>
        </is>
      </c>
      <c r="K6" s="4" t="inlineStr">
        <is>
          <t>Data de pagamento</t>
        </is>
      </c>
      <c r="L6" s="4" t="inlineStr">
        <is>
          <t>Valor previsto</t>
        </is>
      </c>
      <c r="M6" s="4" t="inlineStr">
        <is>
          <t>Valor pago</t>
        </is>
      </c>
      <c r="N6" s="4" t="inlineStr">
        <is>
          <t>Status</t>
        </is>
      </c>
      <c r="O6" s="4" t="inlineStr">
        <is>
          <t>Dias em atraso</t>
        </is>
      </c>
      <c r="P6" s="4" t="inlineStr">
        <is>
          <t>% Pago</t>
        </is>
      </c>
      <c r="Q6" s="4" t="inlineStr">
        <is>
          <t>Orçamento da categoria</t>
        </is>
      </c>
      <c r="R6" s="4" t="inlineStr">
        <is>
          <t>Observações</t>
        </is>
      </c>
    </row>
    <row r="7">
      <c r="A7" s="5">
        <f>IF(B7="","",1)</f>
        <v/>
      </c>
      <c r="B7" s="6" t="inlineStr">
        <is>
          <t>A Pagar</t>
        </is>
      </c>
      <c r="C7" s="7" t="inlineStr">
        <is>
          <t>Aluguel do escritório</t>
        </is>
      </c>
      <c r="D7" s="7" t="inlineStr">
        <is>
          <t>Aluguel</t>
        </is>
      </c>
      <c r="E7" s="7" t="inlineStr">
        <is>
          <t>Imobiliária Paulista Ltda.</t>
        </is>
      </c>
      <c r="F7" s="8" t="inlineStr">
        <is>
          <t>12.345.678/0001-90</t>
        </is>
      </c>
      <c r="G7" s="6" t="inlineStr">
        <is>
          <t>São Paulo</t>
        </is>
      </c>
      <c r="H7" s="9" t="inlineStr">
        <is>
          <t>000000101</t>
        </is>
      </c>
      <c r="I7" s="10" t="n">
        <v>46022</v>
      </c>
      <c r="J7" s="10" t="n">
        <v>46032</v>
      </c>
      <c r="K7" s="10" t="n">
        <v>46032</v>
      </c>
      <c r="L7" s="11" t="n">
        <v>8500</v>
      </c>
      <c r="M7" s="11" t="n">
        <v>8500</v>
      </c>
      <c r="N7" s="5" t="inlineStr">
        <is>
          <t>Pagamento mensal do imóvel administrativo.</t>
        </is>
      </c>
      <c r="O7" s="5">
        <f>IF(OR(N7="",J7=""),"",IF(N7="Pago",MAX(0,IF(K7="",J7,K7)-J7),MAX(0,TODAY()-J7)))</f>
        <v/>
      </c>
      <c r="P7" s="12">
        <f>IF(L7="","",IFERROR(M7/L7,0))</f>
        <v/>
      </c>
      <c r="Q7" s="13">
        <f>IF(D7="","",IFERROR(VLOOKUP(D7,'Resumo'!$H$7:$I$13,2,FALSE),0))</f>
        <v/>
      </c>
      <c r="R7" s="14" t="n"/>
    </row>
    <row r="8">
      <c r="A8" s="5">
        <f>IF(B8="","",2)</f>
        <v/>
      </c>
      <c r="B8" s="6" t="inlineStr">
        <is>
          <t>A Pagar</t>
        </is>
      </c>
      <c r="C8" s="7" t="inlineStr">
        <is>
          <t>Fornecedor de materiais</t>
        </is>
      </c>
      <c r="D8" s="7" t="inlineStr">
        <is>
          <t>Fornecedores</t>
        </is>
      </c>
      <c r="E8" s="7" t="inlineStr">
        <is>
          <t>Maria Oliveira Materiais</t>
        </is>
      </c>
      <c r="F8" s="8" t="inlineStr">
        <is>
          <t>321.654.987-00</t>
        </is>
      </c>
      <c r="G8" s="6" t="inlineStr">
        <is>
          <t>Campinas</t>
        </is>
      </c>
      <c r="H8" s="9" t="inlineStr">
        <is>
          <t>000045821</t>
        </is>
      </c>
      <c r="I8" s="10" t="n">
        <v>46055</v>
      </c>
      <c r="J8" s="10" t="n">
        <v>46067</v>
      </c>
      <c r="K8" s="10" t="n">
        <v>46069</v>
      </c>
      <c r="L8" s="11" t="n">
        <v>15400</v>
      </c>
      <c r="M8" s="11" t="n">
        <v>15400</v>
      </c>
      <c r="N8" s="5" t="inlineStr">
        <is>
          <t>Compra de insumos para operação.</t>
        </is>
      </c>
      <c r="O8" s="5">
        <f>IF(OR(N8="",J8=""),"",IF(N8="Pago",MAX(0,IF(K8="",J8,K8)-J8),MAX(0,TODAY()-J8)))</f>
        <v/>
      </c>
      <c r="P8" s="12">
        <f>IF(L8="","",IFERROR(M8/L8,0))</f>
        <v/>
      </c>
      <c r="Q8" s="13">
        <f>IF(D8="","",IFERROR(VLOOKUP(D8,'Resumo'!$H$7:$I$13,2,FALSE),0))</f>
        <v/>
      </c>
      <c r="R8" s="14" t="n"/>
    </row>
    <row r="9">
      <c r="A9" s="5">
        <f>IF(B9="","",3)</f>
        <v/>
      </c>
      <c r="B9" s="6" t="inlineStr">
        <is>
          <t>A Receber</t>
        </is>
      </c>
      <c r="C9" s="7" t="inlineStr">
        <is>
          <t>Recebimento de cliente</t>
        </is>
      </c>
      <c r="D9" s="7" t="inlineStr">
        <is>
          <t>Vendas</t>
        </is>
      </c>
      <c r="E9" s="7" t="inlineStr">
        <is>
          <t>João Silva Comércio</t>
        </is>
      </c>
      <c r="F9" s="8" t="inlineStr">
        <is>
          <t>123.456.789-09</t>
        </is>
      </c>
      <c r="G9" s="6" t="inlineStr">
        <is>
          <t>Rio de Janeiro</t>
        </is>
      </c>
      <c r="H9" s="9" t="inlineStr">
        <is>
          <t>000000778</t>
        </is>
      </c>
      <c r="I9" s="10" t="n">
        <v>46093</v>
      </c>
      <c r="J9" s="10" t="n">
        <v>46101</v>
      </c>
      <c r="K9" s="10" t="n"/>
      <c r="L9" s="11" t="n">
        <v>28500</v>
      </c>
      <c r="M9" s="11" t="n">
        <v>0</v>
      </c>
      <c r="N9" s="5" t="inlineStr">
        <is>
          <t>Duplicata comercial aguardando liquidação.</t>
        </is>
      </c>
      <c r="O9" s="5">
        <f>IF(OR(N9="",J9=""),"",IF(N9="Pago",MAX(0,IF(K9="",J9,K9)-J9),MAX(0,TODAY()-J9)))</f>
        <v/>
      </c>
      <c r="P9" s="12">
        <f>IF(L9="","",IFERROR(M9/L9,0))</f>
        <v/>
      </c>
      <c r="Q9" s="13">
        <f>IF(D9="","",IFERROR(VLOOKUP(D9,'Resumo'!$H$7:$I$13,2,FALSE),0))</f>
        <v/>
      </c>
      <c r="R9" s="14" t="n"/>
    </row>
    <row r="10">
      <c r="A10" s="5">
        <f>IF(B10="","",4)</f>
        <v/>
      </c>
      <c r="B10" s="6" t="inlineStr">
        <is>
          <t>A Pagar</t>
        </is>
      </c>
      <c r="C10" s="7" t="inlineStr">
        <is>
          <t>DAS do Simples Nacional</t>
        </is>
      </c>
      <c r="D10" s="7" t="inlineStr">
        <is>
          <t>Impostos</t>
        </is>
      </c>
      <c r="E10" s="7" t="inlineStr">
        <is>
          <t>Receita Federal</t>
        </is>
      </c>
      <c r="F10" s="8" t="inlineStr">
        <is>
          <t>00.394.460/0058-87</t>
        </is>
      </c>
      <c r="G10" s="6" t="inlineStr">
        <is>
          <t>Belo Horizonte</t>
        </is>
      </c>
      <c r="H10" s="9" t="inlineStr">
        <is>
          <t>000000322</t>
        </is>
      </c>
      <c r="I10" s="10" t="n">
        <v>46117</v>
      </c>
      <c r="J10" s="10" t="n">
        <v>46132</v>
      </c>
      <c r="K10" s="10" t="n"/>
      <c r="L10" s="11" t="n">
        <v>3200</v>
      </c>
      <c r="M10" s="11" t="n">
        <v>0</v>
      </c>
      <c r="N10" s="5" t="inlineStr">
        <is>
          <t>Tributo mensal apurado pelo regime do Simples.</t>
        </is>
      </c>
      <c r="O10" s="5">
        <f>IF(OR(N10="",J10=""),"",IF(N10="Pago",MAX(0,IF(K10="",J10,K10)-J10),MAX(0,TODAY()-J10)))</f>
        <v/>
      </c>
      <c r="P10" s="12">
        <f>IF(L10="","",IFERROR(M10/L10,0))</f>
        <v/>
      </c>
      <c r="Q10" s="13">
        <f>IF(D10="","",IFERROR(VLOOKUP(D10,'Resumo'!$H$7:$I$13,2,FALSE),0))</f>
        <v/>
      </c>
      <c r="R10" s="14" t="n"/>
    </row>
    <row r="11">
      <c r="A11" s="5">
        <f>IF(B11="","",5)</f>
        <v/>
      </c>
      <c r="B11" s="6" t="inlineStr">
        <is>
          <t>A Pagar</t>
        </is>
      </c>
      <c r="C11" s="7" t="inlineStr">
        <is>
          <t>Folha de pagamento</t>
        </is>
      </c>
      <c r="D11" s="7" t="inlineStr">
        <is>
          <t>Folha de pagamento</t>
        </is>
      </c>
      <c r="E11" s="7" t="inlineStr">
        <is>
          <t>Carlos Pereira</t>
        </is>
      </c>
      <c r="F11" s="8" t="inlineStr">
        <is>
          <t>987.654.321-00</t>
        </is>
      </c>
      <c r="G11" s="6" t="inlineStr">
        <is>
          <t>Curitiba</t>
        </is>
      </c>
      <c r="H11" s="9" t="inlineStr">
        <is>
          <t>000000451</t>
        </is>
      </c>
      <c r="I11" s="10" t="n">
        <v>46152</v>
      </c>
      <c r="J11" s="10" t="n">
        <v>46167</v>
      </c>
      <c r="K11" s="10" t="n">
        <v>46167</v>
      </c>
      <c r="L11" s="11" t="n">
        <v>19800</v>
      </c>
      <c r="M11" s="11" t="n">
        <v>19800</v>
      </c>
      <c r="N11" s="5" t="inlineStr">
        <is>
          <t>Liquidação da folha e encargos internos.</t>
        </is>
      </c>
      <c r="O11" s="5">
        <f>IF(OR(N11="",J11=""),"",IF(N11="Pago",MAX(0,IF(K11="",J11,K11)-J11),MAX(0,TODAY()-J11)))</f>
        <v/>
      </c>
      <c r="P11" s="12">
        <f>IF(L11="","",IFERROR(M11/L11,0))</f>
        <v/>
      </c>
      <c r="Q11" s="13">
        <f>IF(D11="","",IFERROR(VLOOKUP(D11,'Resumo'!$H$7:$I$13,2,FALSE),0))</f>
        <v/>
      </c>
      <c r="R11" s="14" t="n"/>
    </row>
    <row r="12">
      <c r="A12" s="5">
        <f>IF(B12="","",6)</f>
        <v/>
      </c>
      <c r="B12" s="6" t="inlineStr">
        <is>
          <t>A Pagar</t>
        </is>
      </c>
      <c r="C12" s="7" t="inlineStr">
        <is>
          <t>Serviço de contabilidade</t>
        </is>
      </c>
      <c r="D12" s="7" t="inlineStr">
        <is>
          <t>Serviços</t>
        </is>
      </c>
      <c r="E12" s="7" t="inlineStr">
        <is>
          <t>Contábil Sul Assessoria</t>
        </is>
      </c>
      <c r="F12" s="8" t="inlineStr">
        <is>
          <t>45.678.901/0001-55</t>
        </is>
      </c>
      <c r="G12" s="6" t="inlineStr">
        <is>
          <t>Porto Alegre</t>
        </is>
      </c>
      <c r="H12" s="9" t="inlineStr">
        <is>
          <t>000001299</t>
        </is>
      </c>
      <c r="I12" s="10" t="n">
        <v>46181</v>
      </c>
      <c r="J12" s="10" t="n">
        <v>46191</v>
      </c>
      <c r="K12" s="10" t="n">
        <v>46191</v>
      </c>
      <c r="L12" s="11" t="n">
        <v>1850</v>
      </c>
      <c r="M12" s="11" t="n">
        <v>1850</v>
      </c>
      <c r="N12" s="5" t="inlineStr">
        <is>
          <t>Honorários contábeis mensais.</t>
        </is>
      </c>
      <c r="O12" s="5">
        <f>IF(OR(N12="",J12=""),"",IF(N12="Pago",MAX(0,IF(K12="",J12,K12)-J12),MAX(0,TODAY()-J12)))</f>
        <v/>
      </c>
      <c r="P12" s="12">
        <f>IF(L12="","",IFERROR(M12/L12,0))</f>
        <v/>
      </c>
      <c r="Q12" s="13">
        <f>IF(D12="","",IFERROR(VLOOKUP(D12,'Resumo'!$H$7:$I$13,2,FALSE),0))</f>
        <v/>
      </c>
      <c r="R12" s="14" t="n"/>
    </row>
    <row r="13">
      <c r="A13" s="5">
        <f>IF(B13="","",7)</f>
        <v/>
      </c>
      <c r="B13" s="6" t="inlineStr">
        <is>
          <t>A Receber</t>
        </is>
      </c>
      <c r="C13" s="7" t="inlineStr">
        <is>
          <t>Venda para cliente</t>
        </is>
      </c>
      <c r="D13" s="7" t="inlineStr">
        <is>
          <t>Vendas</t>
        </is>
      </c>
      <c r="E13" s="7" t="inlineStr">
        <is>
          <t>Ana Souza Distribuidora</t>
        </is>
      </c>
      <c r="F13" s="8" t="inlineStr">
        <is>
          <t>456.789.123-00</t>
        </is>
      </c>
      <c r="G13" s="6" t="inlineStr">
        <is>
          <t>Salvador</t>
        </is>
      </c>
      <c r="H13" s="9" t="inlineStr">
        <is>
          <t>000003410</t>
        </is>
      </c>
      <c r="I13" s="10" t="n">
        <v>46214</v>
      </c>
      <c r="J13" s="10" t="n">
        <v>46223</v>
      </c>
      <c r="K13" s="10" t="n">
        <v>46224</v>
      </c>
      <c r="L13" s="11" t="n">
        <v>12400</v>
      </c>
      <c r="M13" s="11" t="n">
        <v>12400</v>
      </c>
      <c r="N13" s="5" t="inlineStr">
        <is>
          <t>Recebimento referente à venda de mercadorias.</t>
        </is>
      </c>
      <c r="O13" s="5">
        <f>IF(OR(N13="",J13=""),"",IF(N13="Pago",MAX(0,IF(K13="",J13,K13)-J13),MAX(0,TODAY()-J13)))</f>
        <v/>
      </c>
      <c r="P13" s="12">
        <f>IF(L13="","",IFERROR(M13/L13,0))</f>
        <v/>
      </c>
      <c r="Q13" s="13">
        <f>IF(D13="","",IFERROR(VLOOKUP(D13,'Resumo'!$H$7:$I$13,2,FALSE),0))</f>
        <v/>
      </c>
      <c r="R13" s="14" t="n"/>
    </row>
    <row r="14">
      <c r="A14" s="5">
        <f>IF(B14="","",8)</f>
        <v/>
      </c>
      <c r="B14" s="6" t="inlineStr">
        <is>
          <t>A Pagar</t>
        </is>
      </c>
      <c r="C14" s="7" t="inlineStr">
        <is>
          <t>Conta de energia</t>
        </is>
      </c>
      <c r="D14" s="7" t="inlineStr">
        <is>
          <t>Serviços</t>
        </is>
      </c>
      <c r="E14" s="7" t="inlineStr">
        <is>
          <t>Energia Nordeste S.A.</t>
        </is>
      </c>
      <c r="F14" s="8" t="inlineStr">
        <is>
          <t>11.222.333/0001-44</t>
        </is>
      </c>
      <c r="G14" s="6" t="inlineStr">
        <is>
          <t>Recife</t>
        </is>
      </c>
      <c r="H14" s="9" t="inlineStr">
        <is>
          <t>000008712</t>
        </is>
      </c>
      <c r="I14" s="10" t="n">
        <v>46232</v>
      </c>
      <c r="J14" s="10" t="n">
        <v>46252</v>
      </c>
      <c r="K14" s="10" t="n"/>
      <c r="L14" s="11" t="n">
        <v>1150</v>
      </c>
      <c r="M14" s="11" t="n">
        <v>0</v>
      </c>
      <c r="N14" s="5" t="inlineStr">
        <is>
          <t>Fatura de consumo elétrico da unidade.</t>
        </is>
      </c>
      <c r="O14" s="5">
        <f>IF(OR(N14="",J14=""),"",IF(N14="Pago",MAX(0,IF(K14="",J14,K14)-J14),MAX(0,TODAY()-J14)))</f>
        <v/>
      </c>
      <c r="P14" s="12">
        <f>IF(L14="","",IFERROR(M14/L14,0))</f>
        <v/>
      </c>
      <c r="Q14" s="13">
        <f>IF(D14="","",IFERROR(VLOOKUP(D14,'Resumo'!$H$7:$I$13,2,FALSE),0))</f>
        <v/>
      </c>
      <c r="R14" s="14" t="n"/>
    </row>
    <row r="15">
      <c r="A15" s="5">
        <f>IF(B15="","",9)</f>
        <v/>
      </c>
      <c r="B15" s="6" t="inlineStr">
        <is>
          <t>A Pagar</t>
        </is>
      </c>
      <c r="C15" s="7" t="inlineStr">
        <is>
          <t>Campanha de marketing</t>
        </is>
      </c>
      <c r="D15" s="7" t="inlineStr">
        <is>
          <t>Marketing</t>
        </is>
      </c>
      <c r="E15" s="7" t="inlineStr">
        <is>
          <t>Agência Criativa Digital</t>
        </is>
      </c>
      <c r="F15" s="8" t="inlineStr">
        <is>
          <t>66.777.888/0001-11</t>
        </is>
      </c>
      <c r="G15" s="6" t="inlineStr">
        <is>
          <t>Fortaleza</t>
        </is>
      </c>
      <c r="H15" s="9" t="inlineStr">
        <is>
          <t>000009615</t>
        </is>
      </c>
      <c r="I15" s="10" t="n">
        <v>46274</v>
      </c>
      <c r="J15" s="10" t="n">
        <v>46288</v>
      </c>
      <c r="K15" s="10" t="n"/>
      <c r="L15" s="11" t="n">
        <v>3800</v>
      </c>
      <c r="M15" s="11" t="n">
        <v>0</v>
      </c>
      <c r="N15" s="5" t="inlineStr">
        <is>
          <t>Campanha digital programada para o próximo ciclo.</t>
        </is>
      </c>
      <c r="O15" s="5">
        <f>IF(OR(N15="",J15=""),"",IF(N15="Pago",MAX(0,IF(K15="",J15,K15)-J15),MAX(0,TODAY()-J15)))</f>
        <v/>
      </c>
      <c r="P15" s="12">
        <f>IF(L15="","",IFERROR(M15/L15,0))</f>
        <v/>
      </c>
      <c r="Q15" s="13">
        <f>IF(D15="","",IFERROR(VLOOKUP(D15,'Resumo'!$H$7:$I$13,2,FALSE),0))</f>
        <v/>
      </c>
      <c r="R15" s="14" t="n"/>
    </row>
    <row r="16">
      <c r="A16" s="5">
        <f>IF(B16="","",10)</f>
        <v/>
      </c>
      <c r="B16" s="6" t="inlineStr">
        <is>
          <t>A Pagar</t>
        </is>
      </c>
      <c r="C16" s="7" t="inlineStr">
        <is>
          <t>ISS municipal</t>
        </is>
      </c>
      <c r="D16" s="7" t="inlineStr">
        <is>
          <t>Impostos</t>
        </is>
      </c>
      <c r="E16" s="7" t="inlineStr">
        <is>
          <t>Prefeitura de Brasília</t>
        </is>
      </c>
      <c r="F16" s="8" t="inlineStr">
        <is>
          <t>00.394.494/0001-87</t>
        </is>
      </c>
      <c r="G16" s="6" t="inlineStr">
        <is>
          <t>Brasília</t>
        </is>
      </c>
      <c r="H16" s="9" t="inlineStr">
        <is>
          <t>000005908</t>
        </is>
      </c>
      <c r="I16" s="10" t="n">
        <v>46253</v>
      </c>
      <c r="J16" s="10" t="n">
        <v>46265</v>
      </c>
      <c r="K16" s="10" t="n"/>
      <c r="L16" s="11" t="n">
        <v>2450</v>
      </c>
      <c r="M16" s="11" t="n">
        <v>0</v>
      </c>
      <c r="N16" s="5" t="inlineStr">
        <is>
          <t>ISS incidente sobre serviços prestados.</t>
        </is>
      </c>
      <c r="O16" s="5">
        <f>IF(OR(N16="",J16=""),"",IF(N16="Pago",MAX(0,IF(K16="",J16,K16)-J16),MAX(0,TODAY()-J16)))</f>
        <v/>
      </c>
      <c r="P16" s="12">
        <f>IF(L16="","",IFERROR(M16/L16,0))</f>
        <v/>
      </c>
      <c r="Q16" s="13">
        <f>IF(D16="","",IFERROR(VLOOKUP(D16,'Resumo'!$H$7:$I$13,2,FALSE),0))</f>
        <v/>
      </c>
      <c r="R16" s="14" t="n"/>
    </row>
    <row r="17">
      <c r="A17" s="5">
        <f>IF(B17="","",11)</f>
        <v/>
      </c>
      <c r="B17" s="6" t="n"/>
      <c r="C17" s="7" t="n"/>
      <c r="D17" s="7" t="n"/>
      <c r="E17" s="7" t="n"/>
      <c r="F17" s="8" t="n"/>
      <c r="G17" s="6" t="n"/>
      <c r="H17" s="9" t="n"/>
      <c r="I17" s="10" t="n"/>
      <c r="J17" s="10" t="n"/>
      <c r="K17" s="10" t="n"/>
      <c r="L17" s="11" t="n"/>
      <c r="M17" s="11" t="n"/>
      <c r="N17" s="5">
        <f>IF(L17="","",IF(M17&gt;=L17,"Pago",IF(TODAY()&gt;J17,"Em atraso","Em aberto")))</f>
        <v/>
      </c>
      <c r="O17" s="5">
        <f>IF(OR(N17="",J17=""),"",IF(N17="Pago",MAX(0,IF(K17="",J17,K17)-J17),MAX(0,TODAY()-J17)))</f>
        <v/>
      </c>
      <c r="P17" s="12">
        <f>IF(L17="","",IFERROR(M17/L17,0))</f>
        <v/>
      </c>
      <c r="Q17" s="13">
        <f>IF(D17="","",IFERROR(VLOOKUP(D17,'Resumo'!$H$7:$I$13,2,FALSE),0))</f>
        <v/>
      </c>
      <c r="R17" s="14" t="n"/>
    </row>
    <row r="18">
      <c r="A18" s="5">
        <f>IF(B18="","",12)</f>
        <v/>
      </c>
      <c r="B18" s="6" t="n"/>
      <c r="C18" s="7" t="n"/>
      <c r="D18" s="7" t="n"/>
      <c r="E18" s="7" t="n"/>
      <c r="F18" s="8" t="n"/>
      <c r="G18" s="6" t="n"/>
      <c r="H18" s="9" t="n"/>
      <c r="I18" s="10" t="n"/>
      <c r="J18" s="10" t="n"/>
      <c r="K18" s="10" t="n"/>
      <c r="L18" s="11" t="n"/>
      <c r="M18" s="11" t="n"/>
      <c r="N18" s="5">
        <f>IF(L18="","",IF(M18&gt;=L18,"Pago",IF(TODAY()&gt;J18,"Em atraso","Em aberto")))</f>
        <v/>
      </c>
      <c r="O18" s="5">
        <f>IF(OR(N18="",J18=""),"",IF(N18="Pago",MAX(0,IF(K18="",J18,K18)-J18),MAX(0,TODAY()-J18)))</f>
        <v/>
      </c>
      <c r="P18" s="12">
        <f>IF(L18="","",IFERROR(M18/L18,0))</f>
        <v/>
      </c>
      <c r="Q18" s="13">
        <f>IF(D18="","",IFERROR(VLOOKUP(D18,'Resumo'!$H$7:$I$13,2,FALSE),0))</f>
        <v/>
      </c>
      <c r="R18" s="14" t="n"/>
    </row>
    <row r="19">
      <c r="A19" s="5">
        <f>IF(B19="","",13)</f>
        <v/>
      </c>
      <c r="B19" s="6" t="n"/>
      <c r="C19" s="7" t="n"/>
      <c r="D19" s="7" t="n"/>
      <c r="E19" s="7" t="n"/>
      <c r="F19" s="8" t="n"/>
      <c r="G19" s="6" t="n"/>
      <c r="H19" s="9" t="n"/>
      <c r="I19" s="10" t="n"/>
      <c r="J19" s="10" t="n"/>
      <c r="K19" s="10" t="n"/>
      <c r="L19" s="11" t="n"/>
      <c r="M19" s="11" t="n"/>
      <c r="N19" s="5">
        <f>IF(L19="","",IF(M19&gt;=L19,"Pago",IF(TODAY()&gt;J19,"Em atraso","Em aberto")))</f>
        <v/>
      </c>
      <c r="O19" s="5">
        <f>IF(OR(N19="",J19=""),"",IF(N19="Pago",MAX(0,IF(K19="",J19,K19)-J19),MAX(0,TODAY()-J19)))</f>
        <v/>
      </c>
      <c r="P19" s="12">
        <f>IF(L19="","",IFERROR(M19/L19,0))</f>
        <v/>
      </c>
      <c r="Q19" s="13">
        <f>IF(D19="","",IFERROR(VLOOKUP(D19,'Resumo'!$H$7:$I$13,2,FALSE),0))</f>
        <v/>
      </c>
      <c r="R19" s="14" t="n"/>
    </row>
    <row r="20">
      <c r="A20" s="5">
        <f>IF(B20="","",14)</f>
        <v/>
      </c>
      <c r="B20" s="6" t="n"/>
      <c r="C20" s="7" t="n"/>
      <c r="D20" s="7" t="n"/>
      <c r="E20" s="7" t="n"/>
      <c r="F20" s="8" t="n"/>
      <c r="G20" s="6" t="n"/>
      <c r="H20" s="9" t="n"/>
      <c r="I20" s="10" t="n"/>
      <c r="J20" s="10" t="n"/>
      <c r="K20" s="10" t="n"/>
      <c r="L20" s="11" t="n"/>
      <c r="M20" s="11" t="n"/>
      <c r="N20" s="5">
        <f>IF(L20="","",IF(M20&gt;=L20,"Pago",IF(TODAY()&gt;J20,"Em atraso","Em aberto")))</f>
        <v/>
      </c>
      <c r="O20" s="5">
        <f>IF(OR(N20="",J20=""),"",IF(N20="Pago",MAX(0,IF(K20="",J20,K20)-J20),MAX(0,TODAY()-J20)))</f>
        <v/>
      </c>
      <c r="P20" s="12">
        <f>IF(L20="","",IFERROR(M20/L20,0))</f>
        <v/>
      </c>
      <c r="Q20" s="13">
        <f>IF(D20="","",IFERROR(VLOOKUP(D20,'Resumo'!$H$7:$I$13,2,FALSE),0))</f>
        <v/>
      </c>
      <c r="R20" s="14" t="n"/>
    </row>
    <row r="21">
      <c r="A21" s="5">
        <f>IF(B21="","",15)</f>
        <v/>
      </c>
      <c r="B21" s="6" t="n"/>
      <c r="C21" s="7" t="n"/>
      <c r="D21" s="7" t="n"/>
      <c r="E21" s="7" t="n"/>
      <c r="F21" s="8" t="n"/>
      <c r="G21" s="6" t="n"/>
      <c r="H21" s="9" t="n"/>
      <c r="I21" s="10" t="n"/>
      <c r="J21" s="10" t="n"/>
      <c r="K21" s="10" t="n"/>
      <c r="L21" s="11" t="n"/>
      <c r="M21" s="11" t="n"/>
      <c r="N21" s="5">
        <f>IF(L21="","",IF(M21&gt;=L21,"Pago",IF(TODAY()&gt;J21,"Em atraso","Em aberto")))</f>
        <v/>
      </c>
      <c r="O21" s="5">
        <f>IF(OR(N21="",J21=""),"",IF(N21="Pago",MAX(0,IF(K21="",J21,K21)-J21),MAX(0,TODAY()-J21)))</f>
        <v/>
      </c>
      <c r="P21" s="12">
        <f>IF(L21="","",IFERROR(M21/L21,0))</f>
        <v/>
      </c>
      <c r="Q21" s="13">
        <f>IF(D21="","",IFERROR(VLOOKUP(D21,'Resumo'!$H$7:$I$13,2,FALSE),0))</f>
        <v/>
      </c>
      <c r="R21" s="14" t="n"/>
    </row>
    <row r="22">
      <c r="A22" s="5">
        <f>IF(B22="","",16)</f>
        <v/>
      </c>
      <c r="B22" s="6" t="n"/>
      <c r="C22" s="7" t="n"/>
      <c r="D22" s="7" t="n"/>
      <c r="E22" s="7" t="n"/>
      <c r="F22" s="8" t="n"/>
      <c r="G22" s="6" t="n"/>
      <c r="H22" s="9" t="n"/>
      <c r="I22" s="10" t="n"/>
      <c r="J22" s="10" t="n"/>
      <c r="K22" s="10" t="n"/>
      <c r="L22" s="11" t="n"/>
      <c r="M22" s="11" t="n"/>
      <c r="N22" s="5">
        <f>IF(L22="","",IF(M22&gt;=L22,"Pago",IF(TODAY()&gt;J22,"Em atraso","Em aberto")))</f>
        <v/>
      </c>
      <c r="O22" s="5">
        <f>IF(OR(N22="",J22=""),"",IF(N22="Pago",MAX(0,IF(K22="",J22,K22)-J22),MAX(0,TODAY()-J22)))</f>
        <v/>
      </c>
      <c r="P22" s="12">
        <f>IF(L22="","",IFERROR(M22/L22,0))</f>
        <v/>
      </c>
      <c r="Q22" s="13">
        <f>IF(D22="","",IFERROR(VLOOKUP(D22,'Resumo'!$H$7:$I$13,2,FALSE),0))</f>
        <v/>
      </c>
      <c r="R22" s="14" t="n"/>
    </row>
    <row r="23">
      <c r="A23" s="5">
        <f>IF(B23="","",17)</f>
        <v/>
      </c>
      <c r="B23" s="6" t="n"/>
      <c r="C23" s="7" t="n"/>
      <c r="D23" s="7" t="n"/>
      <c r="E23" s="7" t="n"/>
      <c r="F23" s="8" t="n"/>
      <c r="G23" s="6" t="n"/>
      <c r="H23" s="9" t="n"/>
      <c r="I23" s="10" t="n"/>
      <c r="J23" s="10" t="n"/>
      <c r="K23" s="10" t="n"/>
      <c r="L23" s="11" t="n"/>
      <c r="M23" s="11" t="n"/>
      <c r="N23" s="5">
        <f>IF(L23="","",IF(M23&gt;=L23,"Pago",IF(TODAY()&gt;J23,"Em atraso","Em aberto")))</f>
        <v/>
      </c>
      <c r="O23" s="5">
        <f>IF(OR(N23="",J23=""),"",IF(N23="Pago",MAX(0,IF(K23="",J23,K23)-J23),MAX(0,TODAY()-J23)))</f>
        <v/>
      </c>
      <c r="P23" s="12">
        <f>IF(L23="","",IFERROR(M23/L23,0))</f>
        <v/>
      </c>
      <c r="Q23" s="13">
        <f>IF(D23="","",IFERROR(VLOOKUP(D23,'Resumo'!$H$7:$I$13,2,FALSE),0))</f>
        <v/>
      </c>
      <c r="R23" s="14" t="n"/>
    </row>
    <row r="24">
      <c r="A24" s="5">
        <f>IF(B24="","",18)</f>
        <v/>
      </c>
      <c r="B24" s="6" t="n"/>
      <c r="C24" s="7" t="n"/>
      <c r="D24" s="7" t="n"/>
      <c r="E24" s="7" t="n"/>
      <c r="F24" s="8" t="n"/>
      <c r="G24" s="6" t="n"/>
      <c r="H24" s="9" t="n"/>
      <c r="I24" s="10" t="n"/>
      <c r="J24" s="10" t="n"/>
      <c r="K24" s="10" t="n"/>
      <c r="L24" s="11" t="n"/>
      <c r="M24" s="11" t="n"/>
      <c r="N24" s="5">
        <f>IF(L24="","",IF(M24&gt;=L24,"Pago",IF(TODAY()&gt;J24,"Em atraso","Em aberto")))</f>
        <v/>
      </c>
      <c r="O24" s="5">
        <f>IF(OR(N24="",J24=""),"",IF(N24="Pago",MAX(0,IF(K24="",J24,K24)-J24),MAX(0,TODAY()-J24)))</f>
        <v/>
      </c>
      <c r="P24" s="12">
        <f>IF(L24="","",IFERROR(M24/L24,0))</f>
        <v/>
      </c>
      <c r="Q24" s="13">
        <f>IF(D24="","",IFERROR(VLOOKUP(D24,'Resumo'!$H$7:$I$13,2,FALSE),0))</f>
        <v/>
      </c>
      <c r="R24" s="14" t="n"/>
    </row>
    <row r="25">
      <c r="A25" s="5">
        <f>IF(B25="","",19)</f>
        <v/>
      </c>
      <c r="B25" s="6" t="n"/>
      <c r="C25" s="7" t="n"/>
      <c r="D25" s="7" t="n"/>
      <c r="E25" s="7" t="n"/>
      <c r="F25" s="8" t="n"/>
      <c r="G25" s="6" t="n"/>
      <c r="H25" s="9" t="n"/>
      <c r="I25" s="10" t="n"/>
      <c r="J25" s="10" t="n"/>
      <c r="K25" s="10" t="n"/>
      <c r="L25" s="11" t="n"/>
      <c r="M25" s="11" t="n"/>
      <c r="N25" s="5">
        <f>IF(L25="","",IF(M25&gt;=L25,"Pago",IF(TODAY()&gt;J25,"Em atraso","Em aberto")))</f>
        <v/>
      </c>
      <c r="O25" s="5">
        <f>IF(OR(N25="",J25=""),"",IF(N25="Pago",MAX(0,IF(K25="",J25,K25)-J25),MAX(0,TODAY()-J25)))</f>
        <v/>
      </c>
      <c r="P25" s="12">
        <f>IF(L25="","",IFERROR(M25/L25,0))</f>
        <v/>
      </c>
      <c r="Q25" s="13">
        <f>IF(D25="","",IFERROR(VLOOKUP(D25,'Resumo'!$H$7:$I$13,2,FALSE),0))</f>
        <v/>
      </c>
      <c r="R25" s="14" t="n"/>
    </row>
    <row r="26">
      <c r="A26" s="5">
        <f>IF(B26="","",20)</f>
        <v/>
      </c>
      <c r="B26" s="6" t="n"/>
      <c r="C26" s="7" t="n"/>
      <c r="D26" s="7" t="n"/>
      <c r="E26" s="7" t="n"/>
      <c r="F26" s="8" t="n"/>
      <c r="G26" s="6" t="n"/>
      <c r="H26" s="9" t="n"/>
      <c r="I26" s="10" t="n"/>
      <c r="J26" s="10" t="n"/>
      <c r="K26" s="10" t="n"/>
      <c r="L26" s="11" t="n"/>
      <c r="M26" s="11" t="n"/>
      <c r="N26" s="5">
        <f>IF(L26="","",IF(M26&gt;=L26,"Pago",IF(TODAY()&gt;J26,"Em atraso","Em aberto")))</f>
        <v/>
      </c>
      <c r="O26" s="5">
        <f>IF(OR(N26="",J26=""),"",IF(N26="Pago",MAX(0,IF(K26="",J26,K26)-J26),MAX(0,TODAY()-J26)))</f>
        <v/>
      </c>
      <c r="P26" s="12">
        <f>IF(L26="","",IFERROR(M26/L26,0))</f>
        <v/>
      </c>
      <c r="Q26" s="13">
        <f>IF(D26="","",IFERROR(VLOOKUP(D26,'Resumo'!$H$7:$I$13,2,FALSE),0))</f>
        <v/>
      </c>
      <c r="R26" s="14" t="n"/>
    </row>
    <row r="27">
      <c r="A27" s="5">
        <f>IF(B27="","",21)</f>
        <v/>
      </c>
      <c r="B27" s="6" t="n"/>
      <c r="C27" s="7" t="n"/>
      <c r="D27" s="7" t="n"/>
      <c r="E27" s="7" t="n"/>
      <c r="F27" s="8" t="n"/>
      <c r="G27" s="6" t="n"/>
      <c r="H27" s="9" t="n"/>
      <c r="I27" s="10" t="n"/>
      <c r="J27" s="10" t="n"/>
      <c r="K27" s="10" t="n"/>
      <c r="L27" s="11" t="n"/>
      <c r="M27" s="11" t="n"/>
      <c r="N27" s="5">
        <f>IF(L27="","",IF(M27&gt;=L27,"Pago",IF(TODAY()&gt;J27,"Em atraso","Em aberto")))</f>
        <v/>
      </c>
      <c r="O27" s="5">
        <f>IF(OR(N27="",J27=""),"",IF(N27="Pago",MAX(0,IF(K27="",J27,K27)-J27),MAX(0,TODAY()-J27)))</f>
        <v/>
      </c>
      <c r="P27" s="12">
        <f>IF(L27="","",IFERROR(M27/L27,0))</f>
        <v/>
      </c>
      <c r="Q27" s="13">
        <f>IF(D27="","",IFERROR(VLOOKUP(D27,'Resumo'!$H$7:$I$13,2,FALSE),0))</f>
        <v/>
      </c>
      <c r="R27" s="14" t="n"/>
    </row>
    <row r="28">
      <c r="A28" s="5">
        <f>IF(B28="","",22)</f>
        <v/>
      </c>
      <c r="B28" s="6" t="n"/>
      <c r="C28" s="7" t="n"/>
      <c r="D28" s="7" t="n"/>
      <c r="E28" s="7" t="n"/>
      <c r="F28" s="8" t="n"/>
      <c r="G28" s="6" t="n"/>
      <c r="H28" s="9" t="n"/>
      <c r="I28" s="10" t="n"/>
      <c r="J28" s="10" t="n"/>
      <c r="K28" s="10" t="n"/>
      <c r="L28" s="11" t="n"/>
      <c r="M28" s="11" t="n"/>
      <c r="N28" s="5">
        <f>IF(L28="","",IF(M28&gt;=L28,"Pago",IF(TODAY()&gt;J28,"Em atraso","Em aberto")))</f>
        <v/>
      </c>
      <c r="O28" s="5">
        <f>IF(OR(N28="",J28=""),"",IF(N28="Pago",MAX(0,IF(K28="",J28,K28)-J28),MAX(0,TODAY()-J28)))</f>
        <v/>
      </c>
      <c r="P28" s="12">
        <f>IF(L28="","",IFERROR(M28/L28,0))</f>
        <v/>
      </c>
      <c r="Q28" s="13">
        <f>IF(D28="","",IFERROR(VLOOKUP(D28,'Resumo'!$H$7:$I$13,2,FALSE),0))</f>
        <v/>
      </c>
      <c r="R28" s="14" t="n"/>
    </row>
    <row r="29">
      <c r="A29" s="5">
        <f>IF(B29="","",23)</f>
        <v/>
      </c>
      <c r="B29" s="6" t="n"/>
      <c r="C29" s="7" t="n"/>
      <c r="D29" s="7" t="n"/>
      <c r="E29" s="7" t="n"/>
      <c r="F29" s="8" t="n"/>
      <c r="G29" s="6" t="n"/>
      <c r="H29" s="9" t="n"/>
      <c r="I29" s="10" t="n"/>
      <c r="J29" s="10" t="n"/>
      <c r="K29" s="10" t="n"/>
      <c r="L29" s="11" t="n"/>
      <c r="M29" s="11" t="n"/>
      <c r="N29" s="5">
        <f>IF(L29="","",IF(M29&gt;=L29,"Pago",IF(TODAY()&gt;J29,"Em atraso","Em aberto")))</f>
        <v/>
      </c>
      <c r="O29" s="5">
        <f>IF(OR(N29="",J29=""),"",IF(N29="Pago",MAX(0,IF(K29="",J29,K29)-J29),MAX(0,TODAY()-J29)))</f>
        <v/>
      </c>
      <c r="P29" s="12">
        <f>IF(L29="","",IFERROR(M29/L29,0))</f>
        <v/>
      </c>
      <c r="Q29" s="13">
        <f>IF(D29="","",IFERROR(VLOOKUP(D29,'Resumo'!$H$7:$I$13,2,FALSE),0))</f>
        <v/>
      </c>
      <c r="R29" s="14" t="n"/>
    </row>
    <row r="30">
      <c r="A30" s="5">
        <f>IF(B30="","",24)</f>
        <v/>
      </c>
      <c r="B30" s="6" t="n"/>
      <c r="C30" s="7" t="n"/>
      <c r="D30" s="7" t="n"/>
      <c r="E30" s="7" t="n"/>
      <c r="F30" s="8" t="n"/>
      <c r="G30" s="6" t="n"/>
      <c r="H30" s="9" t="n"/>
      <c r="I30" s="10" t="n"/>
      <c r="J30" s="10" t="n"/>
      <c r="K30" s="10" t="n"/>
      <c r="L30" s="11" t="n"/>
      <c r="M30" s="11" t="n"/>
      <c r="N30" s="5">
        <f>IF(L30="","",IF(M30&gt;=L30,"Pago",IF(TODAY()&gt;J30,"Em atraso","Em aberto")))</f>
        <v/>
      </c>
      <c r="O30" s="5">
        <f>IF(OR(N30="",J30=""),"",IF(N30="Pago",MAX(0,IF(K30="",J30,K30)-J30),MAX(0,TODAY()-J30)))</f>
        <v/>
      </c>
      <c r="P30" s="12">
        <f>IF(L30="","",IFERROR(M30/L30,0))</f>
        <v/>
      </c>
      <c r="Q30" s="13">
        <f>IF(D30="","",IFERROR(VLOOKUP(D30,'Resumo'!$H$7:$I$13,2,FALSE),0))</f>
        <v/>
      </c>
      <c r="R30" s="14" t="n"/>
    </row>
    <row r="31">
      <c r="A31" s="5">
        <f>IF(B31="","",25)</f>
        <v/>
      </c>
      <c r="B31" s="6" t="n"/>
      <c r="C31" s="7" t="n"/>
      <c r="D31" s="7" t="n"/>
      <c r="E31" s="7" t="n"/>
      <c r="F31" s="8" t="n"/>
      <c r="G31" s="6" t="n"/>
      <c r="H31" s="9" t="n"/>
      <c r="I31" s="10" t="n"/>
      <c r="J31" s="10" t="n"/>
      <c r="K31" s="10" t="n"/>
      <c r="L31" s="11" t="n"/>
      <c r="M31" s="11" t="n"/>
      <c r="N31" s="5">
        <f>IF(L31="","",IF(M31&gt;=L31,"Pago",IF(TODAY()&gt;J31,"Em atraso","Em aberto")))</f>
        <v/>
      </c>
      <c r="O31" s="5">
        <f>IF(OR(N31="",J31=""),"",IF(N31="Pago",MAX(0,IF(K31="",J31,K31)-J31),MAX(0,TODAY()-J31)))</f>
        <v/>
      </c>
      <c r="P31" s="12">
        <f>IF(L31="","",IFERROR(M31/L31,0))</f>
        <v/>
      </c>
      <c r="Q31" s="13">
        <f>IF(D31="","",IFERROR(VLOOKUP(D31,'Resumo'!$H$7:$I$13,2,FALSE),0))</f>
        <v/>
      </c>
      <c r="R31" s="14" t="n"/>
    </row>
    <row r="32">
      <c r="A32" s="5">
        <f>IF(B32="","",26)</f>
        <v/>
      </c>
      <c r="B32" s="6" t="n"/>
      <c r="C32" s="7" t="n"/>
      <c r="D32" s="7" t="n"/>
      <c r="E32" s="7" t="n"/>
      <c r="F32" s="8" t="n"/>
      <c r="G32" s="6" t="n"/>
      <c r="H32" s="9" t="n"/>
      <c r="I32" s="10" t="n"/>
      <c r="J32" s="10" t="n"/>
      <c r="K32" s="10" t="n"/>
      <c r="L32" s="11" t="n"/>
      <c r="M32" s="11" t="n"/>
      <c r="N32" s="5">
        <f>IF(L32="","",IF(M32&gt;=L32,"Pago",IF(TODAY()&gt;J32,"Em atraso","Em aberto")))</f>
        <v/>
      </c>
      <c r="O32" s="5">
        <f>IF(OR(N32="",J32=""),"",IF(N32="Pago",MAX(0,IF(K32="",J32,K32)-J32),MAX(0,TODAY()-J32)))</f>
        <v/>
      </c>
      <c r="P32" s="12">
        <f>IF(L32="","",IFERROR(M32/L32,0))</f>
        <v/>
      </c>
      <c r="Q32" s="13">
        <f>IF(D32="","",IFERROR(VLOOKUP(D32,'Resumo'!$H$7:$I$13,2,FALSE),0))</f>
        <v/>
      </c>
      <c r="R32" s="14" t="n"/>
    </row>
    <row r="33">
      <c r="A33" s="5">
        <f>IF(B33="","",27)</f>
        <v/>
      </c>
      <c r="B33" s="6" t="n"/>
      <c r="C33" s="7" t="n"/>
      <c r="D33" s="7" t="n"/>
      <c r="E33" s="7" t="n"/>
      <c r="F33" s="8" t="n"/>
      <c r="G33" s="6" t="n"/>
      <c r="H33" s="9" t="n"/>
      <c r="I33" s="10" t="n"/>
      <c r="J33" s="10" t="n"/>
      <c r="K33" s="10" t="n"/>
      <c r="L33" s="11" t="n"/>
      <c r="M33" s="11" t="n"/>
      <c r="N33" s="5">
        <f>IF(L33="","",IF(M33&gt;=L33,"Pago",IF(TODAY()&gt;J33,"Em atraso","Em aberto")))</f>
        <v/>
      </c>
      <c r="O33" s="5">
        <f>IF(OR(N33="",J33=""),"",IF(N33="Pago",MAX(0,IF(K33="",J33,K33)-J33),MAX(0,TODAY()-J33)))</f>
        <v/>
      </c>
      <c r="P33" s="12">
        <f>IF(L33="","",IFERROR(M33/L33,0))</f>
        <v/>
      </c>
      <c r="Q33" s="13">
        <f>IF(D33="","",IFERROR(VLOOKUP(D33,'Resumo'!$H$7:$I$13,2,FALSE),0))</f>
        <v/>
      </c>
      <c r="R33" s="14" t="n"/>
    </row>
    <row r="34">
      <c r="A34" s="5">
        <f>IF(B34="","",28)</f>
        <v/>
      </c>
      <c r="B34" s="6" t="n"/>
      <c r="C34" s="7" t="n"/>
      <c r="D34" s="7" t="n"/>
      <c r="E34" s="7" t="n"/>
      <c r="F34" s="8" t="n"/>
      <c r="G34" s="6" t="n"/>
      <c r="H34" s="9" t="n"/>
      <c r="I34" s="10" t="n"/>
      <c r="J34" s="10" t="n"/>
      <c r="K34" s="10" t="n"/>
      <c r="L34" s="11" t="n"/>
      <c r="M34" s="11" t="n"/>
      <c r="N34" s="5">
        <f>IF(L34="","",IF(M34&gt;=L34,"Pago",IF(TODAY()&gt;J34,"Em atraso","Em aberto")))</f>
        <v/>
      </c>
      <c r="O34" s="5">
        <f>IF(OR(N34="",J34=""),"",IF(N34="Pago",MAX(0,IF(K34="",J34,K34)-J34),MAX(0,TODAY()-J34)))</f>
        <v/>
      </c>
      <c r="P34" s="12">
        <f>IF(L34="","",IFERROR(M34/L34,0))</f>
        <v/>
      </c>
      <c r="Q34" s="13">
        <f>IF(D34="","",IFERROR(VLOOKUP(D34,'Resumo'!$H$7:$I$13,2,FALSE),0))</f>
        <v/>
      </c>
      <c r="R34" s="14" t="n"/>
    </row>
    <row r="35">
      <c r="A35" s="5">
        <f>IF(B35="","",29)</f>
        <v/>
      </c>
      <c r="B35" s="6" t="n"/>
      <c r="C35" s="7" t="n"/>
      <c r="D35" s="7" t="n"/>
      <c r="E35" s="7" t="n"/>
      <c r="F35" s="8" t="n"/>
      <c r="G35" s="6" t="n"/>
      <c r="H35" s="9" t="n"/>
      <c r="I35" s="10" t="n"/>
      <c r="J35" s="10" t="n"/>
      <c r="K35" s="10" t="n"/>
      <c r="L35" s="11" t="n"/>
      <c r="M35" s="11" t="n"/>
      <c r="N35" s="5">
        <f>IF(L35="","",IF(M35&gt;=L35,"Pago",IF(TODAY()&gt;J35,"Em atraso","Em aberto")))</f>
        <v/>
      </c>
      <c r="O35" s="5">
        <f>IF(OR(N35="",J35=""),"",IF(N35="Pago",MAX(0,IF(K35="",J35,K35)-J35),MAX(0,TODAY()-J35)))</f>
        <v/>
      </c>
      <c r="P35" s="12">
        <f>IF(L35="","",IFERROR(M35/L35,0))</f>
        <v/>
      </c>
      <c r="Q35" s="13">
        <f>IF(D35="","",IFERROR(VLOOKUP(D35,'Resumo'!$H$7:$I$13,2,FALSE),0))</f>
        <v/>
      </c>
      <c r="R35" s="14" t="n"/>
    </row>
    <row r="36">
      <c r="A36" s="5">
        <f>IF(B36="","",30)</f>
        <v/>
      </c>
      <c r="B36" s="6" t="n"/>
      <c r="C36" s="7" t="n"/>
      <c r="D36" s="7" t="n"/>
      <c r="E36" s="7" t="n"/>
      <c r="F36" s="8" t="n"/>
      <c r="G36" s="6" t="n"/>
      <c r="H36" s="9" t="n"/>
      <c r="I36" s="10" t="n"/>
      <c r="J36" s="10" t="n"/>
      <c r="K36" s="10" t="n"/>
      <c r="L36" s="11" t="n"/>
      <c r="M36" s="11" t="n"/>
      <c r="N36" s="5">
        <f>IF(L36="","",IF(M36&gt;=L36,"Pago",IF(TODAY()&gt;J36,"Em atraso","Em aberto")))</f>
        <v/>
      </c>
      <c r="O36" s="5">
        <f>IF(OR(N36="",J36=""),"",IF(N36="Pago",MAX(0,IF(K36="",J36,K36)-J36),MAX(0,TODAY()-J36)))</f>
        <v/>
      </c>
      <c r="P36" s="12">
        <f>IF(L36="","",IFERROR(M36/L36,0))</f>
        <v/>
      </c>
      <c r="Q36" s="13">
        <f>IF(D36="","",IFERROR(VLOOKUP(D36,'Resumo'!$H$7:$I$13,2,FALSE),0))</f>
        <v/>
      </c>
      <c r="R36" s="14" t="n"/>
    </row>
    <row r="37">
      <c r="A37" s="5">
        <f>IF(B37="","",31)</f>
        <v/>
      </c>
      <c r="B37" s="6" t="n"/>
      <c r="C37" s="7" t="n"/>
      <c r="D37" s="7" t="n"/>
      <c r="E37" s="7" t="n"/>
      <c r="F37" s="8" t="n"/>
      <c r="G37" s="6" t="n"/>
      <c r="H37" s="9" t="n"/>
      <c r="I37" s="10" t="n"/>
      <c r="J37" s="10" t="n"/>
      <c r="K37" s="10" t="n"/>
      <c r="L37" s="11" t="n"/>
      <c r="M37" s="11" t="n"/>
      <c r="N37" s="5">
        <f>IF(L37="","",IF(M37&gt;=L37,"Pago",IF(TODAY()&gt;J37,"Em atraso","Em aberto")))</f>
        <v/>
      </c>
      <c r="O37" s="5">
        <f>IF(OR(N37="",J37=""),"",IF(N37="Pago",MAX(0,IF(K37="",J37,K37)-J37),MAX(0,TODAY()-J37)))</f>
        <v/>
      </c>
      <c r="P37" s="12">
        <f>IF(L37="","",IFERROR(M37/L37,0))</f>
        <v/>
      </c>
      <c r="Q37" s="13">
        <f>IF(D37="","",IFERROR(VLOOKUP(D37,'Resumo'!$H$7:$I$13,2,FALSE),0))</f>
        <v/>
      </c>
      <c r="R37" s="14" t="n"/>
    </row>
    <row r="38">
      <c r="A38" s="5">
        <f>IF(B38="","",32)</f>
        <v/>
      </c>
      <c r="B38" s="6" t="n"/>
      <c r="C38" s="7" t="n"/>
      <c r="D38" s="7" t="n"/>
      <c r="E38" s="7" t="n"/>
      <c r="F38" s="8" t="n"/>
      <c r="G38" s="6" t="n"/>
      <c r="H38" s="9" t="n"/>
      <c r="I38" s="10" t="n"/>
      <c r="J38" s="10" t="n"/>
      <c r="K38" s="10" t="n"/>
      <c r="L38" s="11" t="n"/>
      <c r="M38" s="11" t="n"/>
      <c r="N38" s="5">
        <f>IF(L38="","",IF(M38&gt;=L38,"Pago",IF(TODAY()&gt;J38,"Em atraso","Em aberto")))</f>
        <v/>
      </c>
      <c r="O38" s="5">
        <f>IF(OR(N38="",J38=""),"",IF(N38="Pago",MAX(0,IF(K38="",J38,K38)-J38),MAX(0,TODAY()-J38)))</f>
        <v/>
      </c>
      <c r="P38" s="12">
        <f>IF(L38="","",IFERROR(M38/L38,0))</f>
        <v/>
      </c>
      <c r="Q38" s="13">
        <f>IF(D38="","",IFERROR(VLOOKUP(D38,'Resumo'!$H$7:$I$13,2,FALSE),0))</f>
        <v/>
      </c>
      <c r="R38" s="14" t="n"/>
    </row>
    <row r="39">
      <c r="A39" s="5">
        <f>IF(B39="","",33)</f>
        <v/>
      </c>
      <c r="B39" s="6" t="n"/>
      <c r="C39" s="7" t="n"/>
      <c r="D39" s="7" t="n"/>
      <c r="E39" s="7" t="n"/>
      <c r="F39" s="8" t="n"/>
      <c r="G39" s="6" t="n"/>
      <c r="H39" s="9" t="n"/>
      <c r="I39" s="10" t="n"/>
      <c r="J39" s="10" t="n"/>
      <c r="K39" s="10" t="n"/>
      <c r="L39" s="11" t="n"/>
      <c r="M39" s="11" t="n"/>
      <c r="N39" s="5">
        <f>IF(L39="","",IF(M39&gt;=L39,"Pago",IF(TODAY()&gt;J39,"Em atraso","Em aberto")))</f>
        <v/>
      </c>
      <c r="O39" s="5">
        <f>IF(OR(N39="",J39=""),"",IF(N39="Pago",MAX(0,IF(K39="",J39,K39)-J39),MAX(0,TODAY()-J39)))</f>
        <v/>
      </c>
      <c r="P39" s="12">
        <f>IF(L39="","",IFERROR(M39/L39,0))</f>
        <v/>
      </c>
      <c r="Q39" s="13">
        <f>IF(D39="","",IFERROR(VLOOKUP(D39,'Resumo'!$H$7:$I$13,2,FALSE),0))</f>
        <v/>
      </c>
      <c r="R39" s="14" t="n"/>
    </row>
    <row r="40">
      <c r="A40" s="5">
        <f>IF(B40="","",34)</f>
        <v/>
      </c>
      <c r="B40" s="6" t="n"/>
      <c r="C40" s="7" t="n"/>
      <c r="D40" s="7" t="n"/>
      <c r="E40" s="7" t="n"/>
      <c r="F40" s="8" t="n"/>
      <c r="G40" s="6" t="n"/>
      <c r="H40" s="9" t="n"/>
      <c r="I40" s="10" t="n"/>
      <c r="J40" s="10" t="n"/>
      <c r="K40" s="10" t="n"/>
      <c r="L40" s="11" t="n"/>
      <c r="M40" s="11" t="n"/>
      <c r="N40" s="5">
        <f>IF(L40="","",IF(M40&gt;=L40,"Pago",IF(TODAY()&gt;J40,"Em atraso","Em aberto")))</f>
        <v/>
      </c>
      <c r="O40" s="5">
        <f>IF(OR(N40="",J40=""),"",IF(N40="Pago",MAX(0,IF(K40="",J40,K40)-J40),MAX(0,TODAY()-J40)))</f>
        <v/>
      </c>
      <c r="P40" s="12">
        <f>IF(L40="","",IFERROR(M40/L40,0))</f>
        <v/>
      </c>
      <c r="Q40" s="13">
        <f>IF(D40="","",IFERROR(VLOOKUP(D40,'Resumo'!$H$7:$I$13,2,FALSE),0))</f>
        <v/>
      </c>
      <c r="R40" s="14" t="n"/>
    </row>
    <row r="41">
      <c r="A41" s="5">
        <f>IF(B41="","",35)</f>
        <v/>
      </c>
      <c r="B41" s="6" t="n"/>
      <c r="C41" s="7" t="n"/>
      <c r="D41" s="7" t="n"/>
      <c r="E41" s="7" t="n"/>
      <c r="F41" s="8" t="n"/>
      <c r="G41" s="6" t="n"/>
      <c r="H41" s="9" t="n"/>
      <c r="I41" s="10" t="n"/>
      <c r="J41" s="10" t="n"/>
      <c r="K41" s="10" t="n"/>
      <c r="L41" s="11" t="n"/>
      <c r="M41" s="11" t="n"/>
      <c r="N41" s="5">
        <f>IF(L41="","",IF(M41&gt;=L41,"Pago",IF(TODAY()&gt;J41,"Em atraso","Em aberto")))</f>
        <v/>
      </c>
      <c r="O41" s="5">
        <f>IF(OR(N41="",J41=""),"",IF(N41="Pago",MAX(0,IF(K41="",J41,K41)-J41),MAX(0,TODAY()-J41)))</f>
        <v/>
      </c>
      <c r="P41" s="12">
        <f>IF(L41="","",IFERROR(M41/L41,0))</f>
        <v/>
      </c>
      <c r="Q41" s="13">
        <f>IF(D41="","",IFERROR(VLOOKUP(D41,'Resumo'!$H$7:$I$13,2,FALSE),0))</f>
        <v/>
      </c>
      <c r="R41" s="14" t="n"/>
    </row>
    <row r="42">
      <c r="A42" s="5">
        <f>IF(B42="","",36)</f>
        <v/>
      </c>
      <c r="B42" s="6" t="n"/>
      <c r="C42" s="7" t="n"/>
      <c r="D42" s="7" t="n"/>
      <c r="E42" s="7" t="n"/>
      <c r="F42" s="8" t="n"/>
      <c r="G42" s="6" t="n"/>
      <c r="H42" s="9" t="n"/>
      <c r="I42" s="10" t="n"/>
      <c r="J42" s="10" t="n"/>
      <c r="K42" s="10" t="n"/>
      <c r="L42" s="11" t="n"/>
      <c r="M42" s="11" t="n"/>
      <c r="N42" s="5">
        <f>IF(L42="","",IF(M42&gt;=L42,"Pago",IF(TODAY()&gt;J42,"Em atraso","Em aberto")))</f>
        <v/>
      </c>
      <c r="O42" s="5">
        <f>IF(OR(N42="",J42=""),"",IF(N42="Pago",MAX(0,IF(K42="",J42,K42)-J42),MAX(0,TODAY()-J42)))</f>
        <v/>
      </c>
      <c r="P42" s="12">
        <f>IF(L42="","",IFERROR(M42/L42,0))</f>
        <v/>
      </c>
      <c r="Q42" s="13">
        <f>IF(D42="","",IFERROR(VLOOKUP(D42,'Resumo'!$H$7:$I$13,2,FALSE),0))</f>
        <v/>
      </c>
      <c r="R42" s="14" t="n"/>
    </row>
    <row r="43">
      <c r="A43" s="5">
        <f>IF(B43="","",37)</f>
        <v/>
      </c>
      <c r="B43" s="6" t="n"/>
      <c r="C43" s="7" t="n"/>
      <c r="D43" s="7" t="n"/>
      <c r="E43" s="7" t="n"/>
      <c r="F43" s="8" t="n"/>
      <c r="G43" s="6" t="n"/>
      <c r="H43" s="9" t="n"/>
      <c r="I43" s="10" t="n"/>
      <c r="J43" s="10" t="n"/>
      <c r="K43" s="10" t="n"/>
      <c r="L43" s="11" t="n"/>
      <c r="M43" s="11" t="n"/>
      <c r="N43" s="5">
        <f>IF(L43="","",IF(M43&gt;=L43,"Pago",IF(TODAY()&gt;J43,"Em atraso","Em aberto")))</f>
        <v/>
      </c>
      <c r="O43" s="5">
        <f>IF(OR(N43="",J43=""),"",IF(N43="Pago",MAX(0,IF(K43="",J43,K43)-J43),MAX(0,TODAY()-J43)))</f>
        <v/>
      </c>
      <c r="P43" s="12">
        <f>IF(L43="","",IFERROR(M43/L43,0))</f>
        <v/>
      </c>
      <c r="Q43" s="13">
        <f>IF(D43="","",IFERROR(VLOOKUP(D43,'Resumo'!$H$7:$I$13,2,FALSE),0))</f>
        <v/>
      </c>
      <c r="R43" s="14" t="n"/>
    </row>
    <row r="44">
      <c r="A44" s="5">
        <f>IF(B44="","",38)</f>
        <v/>
      </c>
      <c r="B44" s="6" t="n"/>
      <c r="C44" s="7" t="n"/>
      <c r="D44" s="7" t="n"/>
      <c r="E44" s="7" t="n"/>
      <c r="F44" s="8" t="n"/>
      <c r="G44" s="6" t="n"/>
      <c r="H44" s="9" t="n"/>
      <c r="I44" s="10" t="n"/>
      <c r="J44" s="10" t="n"/>
      <c r="K44" s="10" t="n"/>
      <c r="L44" s="11" t="n"/>
      <c r="M44" s="11" t="n"/>
      <c r="N44" s="5">
        <f>IF(L44="","",IF(M44&gt;=L44,"Pago",IF(TODAY()&gt;J44,"Em atraso","Em aberto")))</f>
        <v/>
      </c>
      <c r="O44" s="5">
        <f>IF(OR(N44="",J44=""),"",IF(N44="Pago",MAX(0,IF(K44="",J44,K44)-J44),MAX(0,TODAY()-J44)))</f>
        <v/>
      </c>
      <c r="P44" s="12">
        <f>IF(L44="","",IFERROR(M44/L44,0))</f>
        <v/>
      </c>
      <c r="Q44" s="13">
        <f>IF(D44="","",IFERROR(VLOOKUP(D44,'Resumo'!$H$7:$I$13,2,FALSE),0))</f>
        <v/>
      </c>
      <c r="R44" s="14" t="n"/>
    </row>
    <row r="45">
      <c r="A45" s="5">
        <f>IF(B45="","",39)</f>
        <v/>
      </c>
      <c r="B45" s="6" t="n"/>
      <c r="C45" s="7" t="n"/>
      <c r="D45" s="7" t="n"/>
      <c r="E45" s="7" t="n"/>
      <c r="F45" s="8" t="n"/>
      <c r="G45" s="6" t="n"/>
      <c r="H45" s="9" t="n"/>
      <c r="I45" s="10" t="n"/>
      <c r="J45" s="10" t="n"/>
      <c r="K45" s="10" t="n"/>
      <c r="L45" s="11" t="n"/>
      <c r="M45" s="11" t="n"/>
      <c r="N45" s="5">
        <f>IF(L45="","",IF(M45&gt;=L45,"Pago",IF(TODAY()&gt;J45,"Em atraso","Em aberto")))</f>
        <v/>
      </c>
      <c r="O45" s="5">
        <f>IF(OR(N45="",J45=""),"",IF(N45="Pago",MAX(0,IF(K45="",J45,K45)-J45),MAX(0,TODAY()-J45)))</f>
        <v/>
      </c>
      <c r="P45" s="12">
        <f>IF(L45="","",IFERROR(M45/L45,0))</f>
        <v/>
      </c>
      <c r="Q45" s="13">
        <f>IF(D45="","",IFERROR(VLOOKUP(D45,'Resumo'!$H$7:$I$13,2,FALSE),0))</f>
        <v/>
      </c>
      <c r="R45" s="14" t="n"/>
    </row>
    <row r="46">
      <c r="A46" s="5">
        <f>IF(B46="","",40)</f>
        <v/>
      </c>
      <c r="B46" s="6" t="n"/>
      <c r="C46" s="7" t="n"/>
      <c r="D46" s="7" t="n"/>
      <c r="E46" s="7" t="n"/>
      <c r="F46" s="8" t="n"/>
      <c r="G46" s="6" t="n"/>
      <c r="H46" s="9" t="n"/>
      <c r="I46" s="10" t="n"/>
      <c r="J46" s="10" t="n"/>
      <c r="K46" s="10" t="n"/>
      <c r="L46" s="11" t="n"/>
      <c r="M46" s="11" t="n"/>
      <c r="N46" s="5">
        <f>IF(L46="","",IF(M46&gt;=L46,"Pago",IF(TODAY()&gt;J46,"Em atraso","Em aberto")))</f>
        <v/>
      </c>
      <c r="O46" s="5">
        <f>IF(OR(N46="",J46=""),"",IF(N46="Pago",MAX(0,IF(K46="",J46,K46)-J46),MAX(0,TODAY()-J46)))</f>
        <v/>
      </c>
      <c r="P46" s="12">
        <f>IF(L46="","",IFERROR(M46/L46,0))</f>
        <v/>
      </c>
      <c r="Q46" s="13">
        <f>IF(D46="","",IFERROR(VLOOKUP(D46,'Resumo'!$H$7:$I$13,2,FALSE),0))</f>
        <v/>
      </c>
      <c r="R46" s="14" t="n"/>
    </row>
    <row r="47">
      <c r="A47" s="5">
        <f>IF(B47="","",41)</f>
        <v/>
      </c>
      <c r="B47" s="6" t="n"/>
      <c r="C47" s="7" t="n"/>
      <c r="D47" s="7" t="n"/>
      <c r="E47" s="7" t="n"/>
      <c r="F47" s="8" t="n"/>
      <c r="G47" s="6" t="n"/>
      <c r="H47" s="9" t="n"/>
      <c r="I47" s="10" t="n"/>
      <c r="J47" s="10" t="n"/>
      <c r="K47" s="10" t="n"/>
      <c r="L47" s="11" t="n"/>
      <c r="M47" s="11" t="n"/>
      <c r="N47" s="5">
        <f>IF(L47="","",IF(M47&gt;=L47,"Pago",IF(TODAY()&gt;J47,"Em atraso","Em aberto")))</f>
        <v/>
      </c>
      <c r="O47" s="5">
        <f>IF(OR(N47="",J47=""),"",IF(N47="Pago",MAX(0,IF(K47="",J47,K47)-J47),MAX(0,TODAY()-J47)))</f>
        <v/>
      </c>
      <c r="P47" s="12">
        <f>IF(L47="","",IFERROR(M47/L47,0))</f>
        <v/>
      </c>
      <c r="Q47" s="13">
        <f>IF(D47="","",IFERROR(VLOOKUP(D47,'Resumo'!$H$7:$I$13,2,FALSE),0))</f>
        <v/>
      </c>
      <c r="R47" s="14" t="n"/>
    </row>
    <row r="48">
      <c r="A48" s="5">
        <f>IF(B48="","",42)</f>
        <v/>
      </c>
      <c r="B48" s="6" t="n"/>
      <c r="C48" s="7" t="n"/>
      <c r="D48" s="7" t="n"/>
      <c r="E48" s="7" t="n"/>
      <c r="F48" s="8" t="n"/>
      <c r="G48" s="6" t="n"/>
      <c r="H48" s="9" t="n"/>
      <c r="I48" s="10" t="n"/>
      <c r="J48" s="10" t="n"/>
      <c r="K48" s="10" t="n"/>
      <c r="L48" s="11" t="n"/>
      <c r="M48" s="11" t="n"/>
      <c r="N48" s="5">
        <f>IF(L48="","",IF(M48&gt;=L48,"Pago",IF(TODAY()&gt;J48,"Em atraso","Em aberto")))</f>
        <v/>
      </c>
      <c r="O48" s="5">
        <f>IF(OR(N48="",J48=""),"",IF(N48="Pago",MAX(0,IF(K48="",J48,K48)-J48),MAX(0,TODAY()-J48)))</f>
        <v/>
      </c>
      <c r="P48" s="12">
        <f>IF(L48="","",IFERROR(M48/L48,0))</f>
        <v/>
      </c>
      <c r="Q48" s="13">
        <f>IF(D48="","",IFERROR(VLOOKUP(D48,'Resumo'!$H$7:$I$13,2,FALSE),0))</f>
        <v/>
      </c>
      <c r="R48" s="14" t="n"/>
    </row>
    <row r="49">
      <c r="A49" s="5">
        <f>IF(B49="","",43)</f>
        <v/>
      </c>
      <c r="B49" s="6" t="n"/>
      <c r="C49" s="7" t="n"/>
      <c r="D49" s="7" t="n"/>
      <c r="E49" s="7" t="n"/>
      <c r="F49" s="8" t="n"/>
      <c r="G49" s="6" t="n"/>
      <c r="H49" s="9" t="n"/>
      <c r="I49" s="10" t="n"/>
      <c r="J49" s="10" t="n"/>
      <c r="K49" s="10" t="n"/>
      <c r="L49" s="11" t="n"/>
      <c r="M49" s="11" t="n"/>
      <c r="N49" s="5">
        <f>IF(L49="","",IF(M49&gt;=L49,"Pago",IF(TODAY()&gt;J49,"Em atraso","Em aberto")))</f>
        <v/>
      </c>
      <c r="O49" s="5">
        <f>IF(OR(N49="",J49=""),"",IF(N49="Pago",MAX(0,IF(K49="",J49,K49)-J49),MAX(0,TODAY()-J49)))</f>
        <v/>
      </c>
      <c r="P49" s="12">
        <f>IF(L49="","",IFERROR(M49/L49,0))</f>
        <v/>
      </c>
      <c r="Q49" s="13">
        <f>IF(D49="","",IFERROR(VLOOKUP(D49,'Resumo'!$H$7:$I$13,2,FALSE),0))</f>
        <v/>
      </c>
      <c r="R49" s="14" t="n"/>
    </row>
    <row r="50">
      <c r="A50" s="5">
        <f>IF(B50="","",44)</f>
        <v/>
      </c>
      <c r="B50" s="6" t="n"/>
      <c r="C50" s="7" t="n"/>
      <c r="D50" s="7" t="n"/>
      <c r="E50" s="7" t="n"/>
      <c r="F50" s="8" t="n"/>
      <c r="G50" s="6" t="n"/>
      <c r="H50" s="9" t="n"/>
      <c r="I50" s="10" t="n"/>
      <c r="J50" s="10" t="n"/>
      <c r="K50" s="10" t="n"/>
      <c r="L50" s="11" t="n"/>
      <c r="M50" s="11" t="n"/>
      <c r="N50" s="5">
        <f>IF(L50="","",IF(M50&gt;=L50,"Pago",IF(TODAY()&gt;J50,"Em atraso","Em aberto")))</f>
        <v/>
      </c>
      <c r="O50" s="5">
        <f>IF(OR(N50="",J50=""),"",IF(N50="Pago",MAX(0,IF(K50="",J50,K50)-J50),MAX(0,TODAY()-J50)))</f>
        <v/>
      </c>
      <c r="P50" s="12">
        <f>IF(L50="","",IFERROR(M50/L50,0))</f>
        <v/>
      </c>
      <c r="Q50" s="13">
        <f>IF(D50="","",IFERROR(VLOOKUP(D50,'Resumo'!$H$7:$I$13,2,FALSE),0))</f>
        <v/>
      </c>
      <c r="R50" s="14" t="n"/>
    </row>
    <row r="51">
      <c r="A51" s="5">
        <f>IF(B51="","",45)</f>
        <v/>
      </c>
      <c r="B51" s="6" t="n"/>
      <c r="C51" s="7" t="n"/>
      <c r="D51" s="7" t="n"/>
      <c r="E51" s="7" t="n"/>
      <c r="F51" s="8" t="n"/>
      <c r="G51" s="6" t="n"/>
      <c r="H51" s="9" t="n"/>
      <c r="I51" s="10" t="n"/>
      <c r="J51" s="10" t="n"/>
      <c r="K51" s="10" t="n"/>
      <c r="L51" s="11" t="n"/>
      <c r="M51" s="11" t="n"/>
      <c r="N51" s="5">
        <f>IF(L51="","",IF(M51&gt;=L51,"Pago",IF(TODAY()&gt;J51,"Em atraso","Em aberto")))</f>
        <v/>
      </c>
      <c r="O51" s="5">
        <f>IF(OR(N51="",J51=""),"",IF(N51="Pago",MAX(0,IF(K51="",J51,K51)-J51),MAX(0,TODAY()-J51)))</f>
        <v/>
      </c>
      <c r="P51" s="12">
        <f>IF(L51="","",IFERROR(M51/L51,0))</f>
        <v/>
      </c>
      <c r="Q51" s="13">
        <f>IF(D51="","",IFERROR(VLOOKUP(D51,'Resumo'!$H$7:$I$13,2,FALSE),0))</f>
        <v/>
      </c>
      <c r="R51" s="14" t="n"/>
    </row>
    <row r="52">
      <c r="A52" s="5">
        <f>IF(B52="","",46)</f>
        <v/>
      </c>
      <c r="B52" s="6" t="n"/>
      <c r="C52" s="7" t="n"/>
      <c r="D52" s="7" t="n"/>
      <c r="E52" s="7" t="n"/>
      <c r="F52" s="8" t="n"/>
      <c r="G52" s="6" t="n"/>
      <c r="H52" s="9" t="n"/>
      <c r="I52" s="10" t="n"/>
      <c r="J52" s="10" t="n"/>
      <c r="K52" s="10" t="n"/>
      <c r="L52" s="11" t="n"/>
      <c r="M52" s="11" t="n"/>
      <c r="N52" s="5">
        <f>IF(L52="","",IF(M52&gt;=L52,"Pago",IF(TODAY()&gt;J52,"Em atraso","Em aberto")))</f>
        <v/>
      </c>
      <c r="O52" s="5">
        <f>IF(OR(N52="",J52=""),"",IF(N52="Pago",MAX(0,IF(K52="",J52,K52)-J52),MAX(0,TODAY()-J52)))</f>
        <v/>
      </c>
      <c r="P52" s="12">
        <f>IF(L52="","",IFERROR(M52/L52,0))</f>
        <v/>
      </c>
      <c r="Q52" s="13">
        <f>IF(D52="","",IFERROR(VLOOKUP(D52,'Resumo'!$H$7:$I$13,2,FALSE),0))</f>
        <v/>
      </c>
      <c r="R52" s="14" t="n"/>
    </row>
    <row r="53">
      <c r="A53" s="5">
        <f>IF(B53="","",47)</f>
        <v/>
      </c>
      <c r="B53" s="6" t="n"/>
      <c r="C53" s="7" t="n"/>
      <c r="D53" s="7" t="n"/>
      <c r="E53" s="7" t="n"/>
      <c r="F53" s="8" t="n"/>
      <c r="G53" s="6" t="n"/>
      <c r="H53" s="9" t="n"/>
      <c r="I53" s="10" t="n"/>
      <c r="J53" s="10" t="n"/>
      <c r="K53" s="10" t="n"/>
      <c r="L53" s="11" t="n"/>
      <c r="M53" s="11" t="n"/>
      <c r="N53" s="5">
        <f>IF(L53="","",IF(M53&gt;=L53,"Pago",IF(TODAY()&gt;J53,"Em atraso","Em aberto")))</f>
        <v/>
      </c>
      <c r="O53" s="5">
        <f>IF(OR(N53="",J53=""),"",IF(N53="Pago",MAX(0,IF(K53="",J53,K53)-J53),MAX(0,TODAY()-J53)))</f>
        <v/>
      </c>
      <c r="P53" s="12">
        <f>IF(L53="","",IFERROR(M53/L53,0))</f>
        <v/>
      </c>
      <c r="Q53" s="13">
        <f>IF(D53="","",IFERROR(VLOOKUP(D53,'Resumo'!$H$7:$I$13,2,FALSE),0))</f>
        <v/>
      </c>
      <c r="R53" s="14" t="n"/>
    </row>
    <row r="54">
      <c r="A54" s="5">
        <f>IF(B54="","",48)</f>
        <v/>
      </c>
      <c r="B54" s="6" t="n"/>
      <c r="C54" s="7" t="n"/>
      <c r="D54" s="7" t="n"/>
      <c r="E54" s="7" t="n"/>
      <c r="F54" s="8" t="n"/>
      <c r="G54" s="6" t="n"/>
      <c r="H54" s="9" t="n"/>
      <c r="I54" s="10" t="n"/>
      <c r="J54" s="10" t="n"/>
      <c r="K54" s="10" t="n"/>
      <c r="L54" s="11" t="n"/>
      <c r="M54" s="11" t="n"/>
      <c r="N54" s="5">
        <f>IF(L54="","",IF(M54&gt;=L54,"Pago",IF(TODAY()&gt;J54,"Em atraso","Em aberto")))</f>
        <v/>
      </c>
      <c r="O54" s="5">
        <f>IF(OR(N54="",J54=""),"",IF(N54="Pago",MAX(0,IF(K54="",J54,K54)-J54),MAX(0,TODAY()-J54)))</f>
        <v/>
      </c>
      <c r="P54" s="12">
        <f>IF(L54="","",IFERROR(M54/L54,0))</f>
        <v/>
      </c>
      <c r="Q54" s="13">
        <f>IF(D54="","",IFERROR(VLOOKUP(D54,'Resumo'!$H$7:$I$13,2,FALSE),0))</f>
        <v/>
      </c>
      <c r="R54" s="14" t="n"/>
    </row>
    <row r="55">
      <c r="A55" s="5">
        <f>IF(B55="","",49)</f>
        <v/>
      </c>
      <c r="B55" s="6" t="n"/>
      <c r="C55" s="7" t="n"/>
      <c r="D55" s="7" t="n"/>
      <c r="E55" s="7" t="n"/>
      <c r="F55" s="8" t="n"/>
      <c r="G55" s="6" t="n"/>
      <c r="H55" s="9" t="n"/>
      <c r="I55" s="10" t="n"/>
      <c r="J55" s="10" t="n"/>
      <c r="K55" s="10" t="n"/>
      <c r="L55" s="11" t="n"/>
      <c r="M55" s="11" t="n"/>
      <c r="N55" s="5">
        <f>IF(L55="","",IF(M55&gt;=L55,"Pago",IF(TODAY()&gt;J55,"Em atraso","Em aberto")))</f>
        <v/>
      </c>
      <c r="O55" s="5">
        <f>IF(OR(N55="",J55=""),"",IF(N55="Pago",MAX(0,IF(K55="",J55,K55)-J55),MAX(0,TODAY()-J55)))</f>
        <v/>
      </c>
      <c r="P55" s="12">
        <f>IF(L55="","",IFERROR(M55/L55,0))</f>
        <v/>
      </c>
      <c r="Q55" s="13">
        <f>IF(D55="","",IFERROR(VLOOKUP(D55,'Resumo'!$H$7:$I$13,2,FALSE),0))</f>
        <v/>
      </c>
      <c r="R55" s="14" t="n"/>
    </row>
    <row r="56">
      <c r="A56" s="5">
        <f>IF(B56="","",50)</f>
        <v/>
      </c>
      <c r="B56" s="6" t="n"/>
      <c r="C56" s="7" t="n"/>
      <c r="D56" s="7" t="n"/>
      <c r="E56" s="7" t="n"/>
      <c r="F56" s="8" t="n"/>
      <c r="G56" s="6" t="n"/>
      <c r="H56" s="9" t="n"/>
      <c r="I56" s="10" t="n"/>
      <c r="J56" s="10" t="n"/>
      <c r="K56" s="10" t="n"/>
      <c r="L56" s="11" t="n"/>
      <c r="M56" s="11" t="n"/>
      <c r="N56" s="5">
        <f>IF(L56="","",IF(M56&gt;=L56,"Pago",IF(TODAY()&gt;J56,"Em atraso","Em aberto")))</f>
        <v/>
      </c>
      <c r="O56" s="5">
        <f>IF(OR(N56="",J56=""),"",IF(N56="Pago",MAX(0,IF(K56="",J56,K56)-J56),MAX(0,TODAY()-J56)))</f>
        <v/>
      </c>
      <c r="P56" s="12">
        <f>IF(L56="","",IFERROR(M56/L56,0))</f>
        <v/>
      </c>
      <c r="Q56" s="13">
        <f>IF(D56="","",IFERROR(VLOOKUP(D56,'Resumo'!$H$7:$I$13,2,FALSE),0))</f>
        <v/>
      </c>
      <c r="R56" s="14" t="n"/>
    </row>
    <row r="57">
      <c r="A57" s="5">
        <f>IF(B57="","",51)</f>
        <v/>
      </c>
      <c r="B57" s="6" t="n"/>
      <c r="C57" s="7" t="n"/>
      <c r="D57" s="7" t="n"/>
      <c r="E57" s="7" t="n"/>
      <c r="F57" s="8" t="n"/>
      <c r="G57" s="6" t="n"/>
      <c r="H57" s="9" t="n"/>
      <c r="I57" s="10" t="n"/>
      <c r="J57" s="10" t="n"/>
      <c r="K57" s="10" t="n"/>
      <c r="L57" s="11" t="n"/>
      <c r="M57" s="11" t="n"/>
      <c r="N57" s="5">
        <f>IF(L57="","",IF(M57&gt;=L57,"Pago",IF(TODAY()&gt;J57,"Em atraso","Em aberto")))</f>
        <v/>
      </c>
      <c r="O57" s="5">
        <f>IF(OR(N57="",J57=""),"",IF(N57="Pago",MAX(0,IF(K57="",J57,K57)-J57),MAX(0,TODAY()-J57)))</f>
        <v/>
      </c>
      <c r="P57" s="12">
        <f>IF(L57="","",IFERROR(M57/L57,0))</f>
        <v/>
      </c>
      <c r="Q57" s="13">
        <f>IF(D57="","",IFERROR(VLOOKUP(D57,'Resumo'!$H$7:$I$13,2,FALSE),0))</f>
        <v/>
      </c>
      <c r="R57" s="14" t="n"/>
    </row>
    <row r="58">
      <c r="A58" s="5">
        <f>IF(B58="","",52)</f>
        <v/>
      </c>
      <c r="B58" s="6" t="n"/>
      <c r="C58" s="7" t="n"/>
      <c r="D58" s="7" t="n"/>
      <c r="E58" s="7" t="n"/>
      <c r="F58" s="8" t="n"/>
      <c r="G58" s="6" t="n"/>
      <c r="H58" s="9" t="n"/>
      <c r="I58" s="10" t="n"/>
      <c r="J58" s="10" t="n"/>
      <c r="K58" s="10" t="n"/>
      <c r="L58" s="11" t="n"/>
      <c r="M58" s="11" t="n"/>
      <c r="N58" s="5">
        <f>IF(L58="","",IF(M58&gt;=L58,"Pago",IF(TODAY()&gt;J58,"Em atraso","Em aberto")))</f>
        <v/>
      </c>
      <c r="O58" s="5">
        <f>IF(OR(N58="",J58=""),"",IF(N58="Pago",MAX(0,IF(K58="",J58,K58)-J58),MAX(0,TODAY()-J58)))</f>
        <v/>
      </c>
      <c r="P58" s="12">
        <f>IF(L58="","",IFERROR(M58/L58,0))</f>
        <v/>
      </c>
      <c r="Q58" s="13">
        <f>IF(D58="","",IFERROR(VLOOKUP(D58,'Resumo'!$H$7:$I$13,2,FALSE),0))</f>
        <v/>
      </c>
      <c r="R58" s="14" t="n"/>
    </row>
    <row r="59">
      <c r="A59" s="5">
        <f>IF(B59="","",53)</f>
        <v/>
      </c>
      <c r="B59" s="6" t="n"/>
      <c r="C59" s="7" t="n"/>
      <c r="D59" s="7" t="n"/>
      <c r="E59" s="7" t="n"/>
      <c r="F59" s="8" t="n"/>
      <c r="G59" s="6" t="n"/>
      <c r="H59" s="9" t="n"/>
      <c r="I59" s="10" t="n"/>
      <c r="J59" s="10" t="n"/>
      <c r="K59" s="10" t="n"/>
      <c r="L59" s="11" t="n"/>
      <c r="M59" s="11" t="n"/>
      <c r="N59" s="5">
        <f>IF(L59="","",IF(M59&gt;=L59,"Pago",IF(TODAY()&gt;J59,"Em atraso","Em aberto")))</f>
        <v/>
      </c>
      <c r="O59" s="5">
        <f>IF(OR(N59="",J59=""),"",IF(N59="Pago",MAX(0,IF(K59="",J59,K59)-J59),MAX(0,TODAY()-J59)))</f>
        <v/>
      </c>
      <c r="P59" s="12">
        <f>IF(L59="","",IFERROR(M59/L59,0))</f>
        <v/>
      </c>
      <c r="Q59" s="13">
        <f>IF(D59="","",IFERROR(VLOOKUP(D59,'Resumo'!$H$7:$I$13,2,FALSE),0))</f>
        <v/>
      </c>
      <c r="R59" s="14" t="n"/>
    </row>
    <row r="60">
      <c r="A60" s="5">
        <f>IF(B60="","",54)</f>
        <v/>
      </c>
      <c r="B60" s="6" t="n"/>
      <c r="C60" s="7" t="n"/>
      <c r="D60" s="7" t="n"/>
      <c r="E60" s="7" t="n"/>
      <c r="F60" s="8" t="n"/>
      <c r="G60" s="6" t="n"/>
      <c r="H60" s="9" t="n"/>
      <c r="I60" s="10" t="n"/>
      <c r="J60" s="10" t="n"/>
      <c r="K60" s="10" t="n"/>
      <c r="L60" s="11" t="n"/>
      <c r="M60" s="11" t="n"/>
      <c r="N60" s="5">
        <f>IF(L60="","",IF(M60&gt;=L60,"Pago",IF(TODAY()&gt;J60,"Em atraso","Em aberto")))</f>
        <v/>
      </c>
      <c r="O60" s="5">
        <f>IF(OR(N60="",J60=""),"",IF(N60="Pago",MAX(0,IF(K60="",J60,K60)-J60),MAX(0,TODAY()-J60)))</f>
        <v/>
      </c>
      <c r="P60" s="12">
        <f>IF(L60="","",IFERROR(M60/L60,0))</f>
        <v/>
      </c>
      <c r="Q60" s="13">
        <f>IF(D60="","",IFERROR(VLOOKUP(D60,'Resumo'!$H$7:$I$13,2,FALSE),0))</f>
        <v/>
      </c>
      <c r="R60" s="14" t="n"/>
    </row>
    <row r="61">
      <c r="A61" s="5">
        <f>IF(B61="","",55)</f>
        <v/>
      </c>
      <c r="B61" s="6" t="n"/>
      <c r="C61" s="7" t="n"/>
      <c r="D61" s="7" t="n"/>
      <c r="E61" s="7" t="n"/>
      <c r="F61" s="8" t="n"/>
      <c r="G61" s="6" t="n"/>
      <c r="H61" s="9" t="n"/>
      <c r="I61" s="10" t="n"/>
      <c r="J61" s="10" t="n"/>
      <c r="K61" s="10" t="n"/>
      <c r="L61" s="11" t="n"/>
      <c r="M61" s="11" t="n"/>
      <c r="N61" s="5">
        <f>IF(L61="","",IF(M61&gt;=L61,"Pago",IF(TODAY()&gt;J61,"Em atraso","Em aberto")))</f>
        <v/>
      </c>
      <c r="O61" s="5">
        <f>IF(OR(N61="",J61=""),"",IF(N61="Pago",MAX(0,IF(K61="",J61,K61)-J61),MAX(0,TODAY()-J61)))</f>
        <v/>
      </c>
      <c r="P61" s="12">
        <f>IF(L61="","",IFERROR(M61/L61,0))</f>
        <v/>
      </c>
      <c r="Q61" s="13">
        <f>IF(D61="","",IFERROR(VLOOKUP(D61,'Resumo'!$H$7:$I$13,2,FALSE),0))</f>
        <v/>
      </c>
      <c r="R61" s="14" t="n"/>
    </row>
    <row r="62">
      <c r="A62" s="5">
        <f>IF(B62="","",56)</f>
        <v/>
      </c>
      <c r="B62" s="6" t="n"/>
      <c r="C62" s="7" t="n"/>
      <c r="D62" s="7" t="n"/>
      <c r="E62" s="7" t="n"/>
      <c r="F62" s="8" t="n"/>
      <c r="G62" s="6" t="n"/>
      <c r="H62" s="9" t="n"/>
      <c r="I62" s="10" t="n"/>
      <c r="J62" s="10" t="n"/>
      <c r="K62" s="10" t="n"/>
      <c r="L62" s="11" t="n"/>
      <c r="M62" s="11" t="n"/>
      <c r="N62" s="5">
        <f>IF(L62="","",IF(M62&gt;=L62,"Pago",IF(TODAY()&gt;J62,"Em atraso","Em aberto")))</f>
        <v/>
      </c>
      <c r="O62" s="5">
        <f>IF(OR(N62="",J62=""),"",IF(N62="Pago",MAX(0,IF(K62="",J62,K62)-J62),MAX(0,TODAY()-J62)))</f>
        <v/>
      </c>
      <c r="P62" s="12">
        <f>IF(L62="","",IFERROR(M62/L62,0))</f>
        <v/>
      </c>
      <c r="Q62" s="13">
        <f>IF(D62="","",IFERROR(VLOOKUP(D62,'Resumo'!$H$7:$I$13,2,FALSE),0))</f>
        <v/>
      </c>
      <c r="R62" s="14" t="n"/>
    </row>
    <row r="63">
      <c r="A63" s="5">
        <f>IF(B63="","",57)</f>
        <v/>
      </c>
      <c r="B63" s="6" t="n"/>
      <c r="C63" s="7" t="n"/>
      <c r="D63" s="7" t="n"/>
      <c r="E63" s="7" t="n"/>
      <c r="F63" s="8" t="n"/>
      <c r="G63" s="6" t="n"/>
      <c r="H63" s="9" t="n"/>
      <c r="I63" s="10" t="n"/>
      <c r="J63" s="10" t="n"/>
      <c r="K63" s="10" t="n"/>
      <c r="L63" s="11" t="n"/>
      <c r="M63" s="11" t="n"/>
      <c r="N63" s="5">
        <f>IF(L63="","",IF(M63&gt;=L63,"Pago",IF(TODAY()&gt;J63,"Em atraso","Em aberto")))</f>
        <v/>
      </c>
      <c r="O63" s="5">
        <f>IF(OR(N63="",J63=""),"",IF(N63="Pago",MAX(0,IF(K63="",J63,K63)-J63),MAX(0,TODAY()-J63)))</f>
        <v/>
      </c>
      <c r="P63" s="12">
        <f>IF(L63="","",IFERROR(M63/L63,0))</f>
        <v/>
      </c>
      <c r="Q63" s="13">
        <f>IF(D63="","",IFERROR(VLOOKUP(D63,'Resumo'!$H$7:$I$13,2,FALSE),0))</f>
        <v/>
      </c>
      <c r="R63" s="14" t="n"/>
    </row>
    <row r="64">
      <c r="A64" s="5">
        <f>IF(B64="","",58)</f>
        <v/>
      </c>
      <c r="B64" s="6" t="n"/>
      <c r="C64" s="7" t="n"/>
      <c r="D64" s="7" t="n"/>
      <c r="E64" s="7" t="n"/>
      <c r="F64" s="8" t="n"/>
      <c r="G64" s="6" t="n"/>
      <c r="H64" s="9" t="n"/>
      <c r="I64" s="10" t="n"/>
      <c r="J64" s="10" t="n"/>
      <c r="K64" s="10" t="n"/>
      <c r="L64" s="11" t="n"/>
      <c r="M64" s="11" t="n"/>
      <c r="N64" s="5">
        <f>IF(L64="","",IF(M64&gt;=L64,"Pago",IF(TODAY()&gt;J64,"Em atraso","Em aberto")))</f>
        <v/>
      </c>
      <c r="O64" s="5">
        <f>IF(OR(N64="",J64=""),"",IF(N64="Pago",MAX(0,IF(K64="",J64,K64)-J64),MAX(0,TODAY()-J64)))</f>
        <v/>
      </c>
      <c r="P64" s="12">
        <f>IF(L64="","",IFERROR(M64/L64,0))</f>
        <v/>
      </c>
      <c r="Q64" s="13">
        <f>IF(D64="","",IFERROR(VLOOKUP(D64,'Resumo'!$H$7:$I$13,2,FALSE),0))</f>
        <v/>
      </c>
      <c r="R64" s="14" t="n"/>
    </row>
    <row r="65">
      <c r="A65" s="5">
        <f>IF(B65="","",59)</f>
        <v/>
      </c>
      <c r="B65" s="6" t="n"/>
      <c r="C65" s="7" t="n"/>
      <c r="D65" s="7" t="n"/>
      <c r="E65" s="7" t="n"/>
      <c r="F65" s="8" t="n"/>
      <c r="G65" s="6" t="n"/>
      <c r="H65" s="9" t="n"/>
      <c r="I65" s="10" t="n"/>
      <c r="J65" s="10" t="n"/>
      <c r="K65" s="10" t="n"/>
      <c r="L65" s="11" t="n"/>
      <c r="M65" s="11" t="n"/>
      <c r="N65" s="5">
        <f>IF(L65="","",IF(M65&gt;=L65,"Pago",IF(TODAY()&gt;J65,"Em atraso","Em aberto")))</f>
        <v/>
      </c>
      <c r="O65" s="5">
        <f>IF(OR(N65="",J65=""),"",IF(N65="Pago",MAX(0,IF(K65="",J65,K65)-J65),MAX(0,TODAY()-J65)))</f>
        <v/>
      </c>
      <c r="P65" s="12">
        <f>IF(L65="","",IFERROR(M65/L65,0))</f>
        <v/>
      </c>
      <c r="Q65" s="13">
        <f>IF(D65="","",IFERROR(VLOOKUP(D65,'Resumo'!$H$7:$I$13,2,FALSE),0))</f>
        <v/>
      </c>
      <c r="R65" s="14" t="n"/>
    </row>
    <row r="66">
      <c r="A66" s="5">
        <f>IF(B66="","",60)</f>
        <v/>
      </c>
      <c r="B66" s="6" t="n"/>
      <c r="C66" s="7" t="n"/>
      <c r="D66" s="7" t="n"/>
      <c r="E66" s="7" t="n"/>
      <c r="F66" s="8" t="n"/>
      <c r="G66" s="6" t="n"/>
      <c r="H66" s="9" t="n"/>
      <c r="I66" s="10" t="n"/>
      <c r="J66" s="10" t="n"/>
      <c r="K66" s="10" t="n"/>
      <c r="L66" s="11" t="n"/>
      <c r="M66" s="11" t="n"/>
      <c r="N66" s="5">
        <f>IF(L66="","",IF(M66&gt;=L66,"Pago",IF(TODAY()&gt;J66,"Em atraso","Em aberto")))</f>
        <v/>
      </c>
      <c r="O66" s="5">
        <f>IF(OR(N66="",J66=""),"",IF(N66="Pago",MAX(0,IF(K66="",J66,K66)-J66),MAX(0,TODAY()-J66)))</f>
        <v/>
      </c>
      <c r="P66" s="12">
        <f>IF(L66="","",IFERROR(M66/L66,0))</f>
        <v/>
      </c>
      <c r="Q66" s="13">
        <f>IF(D66="","",IFERROR(VLOOKUP(D66,'Resumo'!$H$7:$I$13,2,FALSE),0))</f>
        <v/>
      </c>
      <c r="R66" s="14" t="n"/>
    </row>
    <row r="67">
      <c r="A67" s="5">
        <f>IF(B67="","",61)</f>
        <v/>
      </c>
      <c r="B67" s="6" t="n"/>
      <c r="C67" s="7" t="n"/>
      <c r="D67" s="7" t="n"/>
      <c r="E67" s="7" t="n"/>
      <c r="F67" s="8" t="n"/>
      <c r="G67" s="6" t="n"/>
      <c r="H67" s="9" t="n"/>
      <c r="I67" s="10" t="n"/>
      <c r="J67" s="10" t="n"/>
      <c r="K67" s="10" t="n"/>
      <c r="L67" s="11" t="n"/>
      <c r="M67" s="11" t="n"/>
      <c r="N67" s="5">
        <f>IF(L67="","",IF(M67&gt;=L67,"Pago",IF(TODAY()&gt;J67,"Em atraso","Em aberto")))</f>
        <v/>
      </c>
      <c r="O67" s="5">
        <f>IF(OR(N67="",J67=""),"",IF(N67="Pago",MAX(0,IF(K67="",J67,K67)-J67),MAX(0,TODAY()-J67)))</f>
        <v/>
      </c>
      <c r="P67" s="12">
        <f>IF(L67="","",IFERROR(M67/L67,0))</f>
        <v/>
      </c>
      <c r="Q67" s="13">
        <f>IF(D67="","",IFERROR(VLOOKUP(D67,'Resumo'!$H$7:$I$13,2,FALSE),0))</f>
        <v/>
      </c>
      <c r="R67" s="14" t="n"/>
    </row>
    <row r="68">
      <c r="A68" s="5">
        <f>IF(B68="","",62)</f>
        <v/>
      </c>
      <c r="B68" s="6" t="n"/>
      <c r="C68" s="7" t="n"/>
      <c r="D68" s="7" t="n"/>
      <c r="E68" s="7" t="n"/>
      <c r="F68" s="8" t="n"/>
      <c r="G68" s="6" t="n"/>
      <c r="H68" s="9" t="n"/>
      <c r="I68" s="10" t="n"/>
      <c r="J68" s="10" t="n"/>
      <c r="K68" s="10" t="n"/>
      <c r="L68" s="11" t="n"/>
      <c r="M68" s="11" t="n"/>
      <c r="N68" s="5">
        <f>IF(L68="","",IF(M68&gt;=L68,"Pago",IF(TODAY()&gt;J68,"Em atraso","Em aberto")))</f>
        <v/>
      </c>
      <c r="O68" s="5">
        <f>IF(OR(N68="",J68=""),"",IF(N68="Pago",MAX(0,IF(K68="",J68,K68)-J68),MAX(0,TODAY()-J68)))</f>
        <v/>
      </c>
      <c r="P68" s="12">
        <f>IF(L68="","",IFERROR(M68/L68,0))</f>
        <v/>
      </c>
      <c r="Q68" s="13">
        <f>IF(D68="","",IFERROR(VLOOKUP(D68,'Resumo'!$H$7:$I$13,2,FALSE),0))</f>
        <v/>
      </c>
      <c r="R68" s="14" t="n"/>
    </row>
    <row r="69">
      <c r="A69" s="5">
        <f>IF(B69="","",63)</f>
        <v/>
      </c>
      <c r="B69" s="6" t="n"/>
      <c r="C69" s="7" t="n"/>
      <c r="D69" s="7" t="n"/>
      <c r="E69" s="7" t="n"/>
      <c r="F69" s="8" t="n"/>
      <c r="G69" s="6" t="n"/>
      <c r="H69" s="9" t="n"/>
      <c r="I69" s="10" t="n"/>
      <c r="J69" s="10" t="n"/>
      <c r="K69" s="10" t="n"/>
      <c r="L69" s="11" t="n"/>
      <c r="M69" s="11" t="n"/>
      <c r="N69" s="5">
        <f>IF(L69="","",IF(M69&gt;=L69,"Pago",IF(TODAY()&gt;J69,"Em atraso","Em aberto")))</f>
        <v/>
      </c>
      <c r="O69" s="5">
        <f>IF(OR(N69="",J69=""),"",IF(N69="Pago",MAX(0,IF(K69="",J69,K69)-J69),MAX(0,TODAY()-J69)))</f>
        <v/>
      </c>
      <c r="P69" s="12">
        <f>IF(L69="","",IFERROR(M69/L69,0))</f>
        <v/>
      </c>
      <c r="Q69" s="13">
        <f>IF(D69="","",IFERROR(VLOOKUP(D69,'Resumo'!$H$7:$I$13,2,FALSE),0))</f>
        <v/>
      </c>
      <c r="R69" s="14" t="n"/>
    </row>
    <row r="70">
      <c r="A70" s="5">
        <f>IF(B70="","",64)</f>
        <v/>
      </c>
      <c r="B70" s="6" t="n"/>
      <c r="C70" s="7" t="n"/>
      <c r="D70" s="7" t="n"/>
      <c r="E70" s="7" t="n"/>
      <c r="F70" s="8" t="n"/>
      <c r="G70" s="6" t="n"/>
      <c r="H70" s="9" t="n"/>
      <c r="I70" s="10" t="n"/>
      <c r="J70" s="10" t="n"/>
      <c r="K70" s="10" t="n"/>
      <c r="L70" s="11" t="n"/>
      <c r="M70" s="11" t="n"/>
      <c r="N70" s="5">
        <f>IF(L70="","",IF(M70&gt;=L70,"Pago",IF(TODAY()&gt;J70,"Em atraso","Em aberto")))</f>
        <v/>
      </c>
      <c r="O70" s="5">
        <f>IF(OR(N70="",J70=""),"",IF(N70="Pago",MAX(0,IF(K70="",J70,K70)-J70),MAX(0,TODAY()-J70)))</f>
        <v/>
      </c>
      <c r="P70" s="12">
        <f>IF(L70="","",IFERROR(M70/L70,0))</f>
        <v/>
      </c>
      <c r="Q70" s="13">
        <f>IF(D70="","",IFERROR(VLOOKUP(D70,'Resumo'!$H$7:$I$13,2,FALSE),0))</f>
        <v/>
      </c>
      <c r="R70" s="14" t="n"/>
    </row>
    <row r="71">
      <c r="A71" s="5">
        <f>IF(B71="","",65)</f>
        <v/>
      </c>
      <c r="B71" s="6" t="n"/>
      <c r="C71" s="7" t="n"/>
      <c r="D71" s="7" t="n"/>
      <c r="E71" s="7" t="n"/>
      <c r="F71" s="8" t="n"/>
      <c r="G71" s="6" t="n"/>
      <c r="H71" s="9" t="n"/>
      <c r="I71" s="10" t="n"/>
      <c r="J71" s="10" t="n"/>
      <c r="K71" s="10" t="n"/>
      <c r="L71" s="11" t="n"/>
      <c r="M71" s="11" t="n"/>
      <c r="N71" s="5">
        <f>IF(L71="","",IF(M71&gt;=L71,"Pago",IF(TODAY()&gt;J71,"Em atraso","Em aberto")))</f>
        <v/>
      </c>
      <c r="O71" s="5">
        <f>IF(OR(N71="",J71=""),"",IF(N71="Pago",MAX(0,IF(K71="",J71,K71)-J71),MAX(0,TODAY()-J71)))</f>
        <v/>
      </c>
      <c r="P71" s="12">
        <f>IF(L71="","",IFERROR(M71/L71,0))</f>
        <v/>
      </c>
      <c r="Q71" s="13">
        <f>IF(D71="","",IFERROR(VLOOKUP(D71,'Resumo'!$H$7:$I$13,2,FALSE),0))</f>
        <v/>
      </c>
      <c r="R71" s="14" t="n"/>
    </row>
    <row r="72">
      <c r="A72" s="5">
        <f>IF(B72="","",66)</f>
        <v/>
      </c>
      <c r="B72" s="6" t="n"/>
      <c r="C72" s="7" t="n"/>
      <c r="D72" s="7" t="n"/>
      <c r="E72" s="7" t="n"/>
      <c r="F72" s="8" t="n"/>
      <c r="G72" s="6" t="n"/>
      <c r="H72" s="9" t="n"/>
      <c r="I72" s="10" t="n"/>
      <c r="J72" s="10" t="n"/>
      <c r="K72" s="10" t="n"/>
      <c r="L72" s="11" t="n"/>
      <c r="M72" s="11" t="n"/>
      <c r="N72" s="5">
        <f>IF(L72="","",IF(M72&gt;=L72,"Pago",IF(TODAY()&gt;J72,"Em atraso","Em aberto")))</f>
        <v/>
      </c>
      <c r="O72" s="5">
        <f>IF(OR(N72="",J72=""),"",IF(N72="Pago",MAX(0,IF(K72="",J72,K72)-J72),MAX(0,TODAY()-J72)))</f>
        <v/>
      </c>
      <c r="P72" s="12">
        <f>IF(L72="","",IFERROR(M72/L72,0))</f>
        <v/>
      </c>
      <c r="Q72" s="13">
        <f>IF(D72="","",IFERROR(VLOOKUP(D72,'Resumo'!$H$7:$I$13,2,FALSE),0))</f>
        <v/>
      </c>
      <c r="R72" s="14" t="n"/>
    </row>
    <row r="73">
      <c r="A73" s="5">
        <f>IF(B73="","",67)</f>
        <v/>
      </c>
      <c r="B73" s="6" t="n"/>
      <c r="C73" s="7" t="n"/>
      <c r="D73" s="7" t="n"/>
      <c r="E73" s="7" t="n"/>
      <c r="F73" s="8" t="n"/>
      <c r="G73" s="6" t="n"/>
      <c r="H73" s="9" t="n"/>
      <c r="I73" s="10" t="n"/>
      <c r="J73" s="10" t="n"/>
      <c r="K73" s="10" t="n"/>
      <c r="L73" s="11" t="n"/>
      <c r="M73" s="11" t="n"/>
      <c r="N73" s="5">
        <f>IF(L73="","",IF(M73&gt;=L73,"Pago",IF(TODAY()&gt;J73,"Em atraso","Em aberto")))</f>
        <v/>
      </c>
      <c r="O73" s="5">
        <f>IF(OR(N73="",J73=""),"",IF(N73="Pago",MAX(0,IF(K73="",J73,K73)-J73),MAX(0,TODAY()-J73)))</f>
        <v/>
      </c>
      <c r="P73" s="12">
        <f>IF(L73="","",IFERROR(M73/L73,0))</f>
        <v/>
      </c>
      <c r="Q73" s="13">
        <f>IF(D73="","",IFERROR(VLOOKUP(D73,'Resumo'!$H$7:$I$13,2,FALSE),0))</f>
        <v/>
      </c>
      <c r="R73" s="14" t="n"/>
    </row>
    <row r="74">
      <c r="A74" s="5">
        <f>IF(B74="","",68)</f>
        <v/>
      </c>
      <c r="B74" s="6" t="n"/>
      <c r="C74" s="7" t="n"/>
      <c r="D74" s="7" t="n"/>
      <c r="E74" s="7" t="n"/>
      <c r="F74" s="8" t="n"/>
      <c r="G74" s="6" t="n"/>
      <c r="H74" s="9" t="n"/>
      <c r="I74" s="10" t="n"/>
      <c r="J74" s="10" t="n"/>
      <c r="K74" s="10" t="n"/>
      <c r="L74" s="11" t="n"/>
      <c r="M74" s="11" t="n"/>
      <c r="N74" s="5">
        <f>IF(L74="","",IF(M74&gt;=L74,"Pago",IF(TODAY()&gt;J74,"Em atraso","Em aberto")))</f>
        <v/>
      </c>
      <c r="O74" s="5">
        <f>IF(OR(N74="",J74=""),"",IF(N74="Pago",MAX(0,IF(K74="",J74,K74)-J74),MAX(0,TODAY()-J74)))</f>
        <v/>
      </c>
      <c r="P74" s="12">
        <f>IF(L74="","",IFERROR(M74/L74,0))</f>
        <v/>
      </c>
      <c r="Q74" s="13">
        <f>IF(D74="","",IFERROR(VLOOKUP(D74,'Resumo'!$H$7:$I$13,2,FALSE),0))</f>
        <v/>
      </c>
      <c r="R74" s="14" t="n"/>
    </row>
    <row r="75">
      <c r="A75" s="5">
        <f>IF(B75="","",69)</f>
        <v/>
      </c>
      <c r="B75" s="6" t="n"/>
      <c r="C75" s="7" t="n"/>
      <c r="D75" s="7" t="n"/>
      <c r="E75" s="7" t="n"/>
      <c r="F75" s="8" t="n"/>
      <c r="G75" s="6" t="n"/>
      <c r="H75" s="9" t="n"/>
      <c r="I75" s="10" t="n"/>
      <c r="J75" s="10" t="n"/>
      <c r="K75" s="10" t="n"/>
      <c r="L75" s="11" t="n"/>
      <c r="M75" s="11" t="n"/>
      <c r="N75" s="5">
        <f>IF(L75="","",IF(M75&gt;=L75,"Pago",IF(TODAY()&gt;J75,"Em atraso","Em aberto")))</f>
        <v/>
      </c>
      <c r="O75" s="5">
        <f>IF(OR(N75="",J75=""),"",IF(N75="Pago",MAX(0,IF(K75="",J75,K75)-J75),MAX(0,TODAY()-J75)))</f>
        <v/>
      </c>
      <c r="P75" s="12">
        <f>IF(L75="","",IFERROR(M75/L75,0))</f>
        <v/>
      </c>
      <c r="Q75" s="13">
        <f>IF(D75="","",IFERROR(VLOOKUP(D75,'Resumo'!$H$7:$I$13,2,FALSE),0))</f>
        <v/>
      </c>
      <c r="R75" s="14" t="n"/>
    </row>
    <row r="76">
      <c r="A76" s="5">
        <f>IF(B76="","",70)</f>
        <v/>
      </c>
      <c r="B76" s="6" t="n"/>
      <c r="C76" s="7" t="n"/>
      <c r="D76" s="7" t="n"/>
      <c r="E76" s="7" t="n"/>
      <c r="F76" s="8" t="n"/>
      <c r="G76" s="6" t="n"/>
      <c r="H76" s="9" t="n"/>
      <c r="I76" s="10" t="n"/>
      <c r="J76" s="10" t="n"/>
      <c r="K76" s="10" t="n"/>
      <c r="L76" s="11" t="n"/>
      <c r="M76" s="11" t="n"/>
      <c r="N76" s="5">
        <f>IF(L76="","",IF(M76&gt;=L76,"Pago",IF(TODAY()&gt;J76,"Em atraso","Em aberto")))</f>
        <v/>
      </c>
      <c r="O76" s="5">
        <f>IF(OR(N76="",J76=""),"",IF(N76="Pago",MAX(0,IF(K76="",J76,K76)-J76),MAX(0,TODAY()-J76)))</f>
        <v/>
      </c>
      <c r="P76" s="12">
        <f>IF(L76="","",IFERROR(M76/L76,0))</f>
        <v/>
      </c>
      <c r="Q76" s="13">
        <f>IF(D76="","",IFERROR(VLOOKUP(D76,'Resumo'!$H$7:$I$13,2,FALSE),0))</f>
        <v/>
      </c>
      <c r="R76" s="14" t="n"/>
    </row>
    <row r="77">
      <c r="A77" s="5">
        <f>IF(B77="","",71)</f>
        <v/>
      </c>
      <c r="B77" s="6" t="n"/>
      <c r="C77" s="7" t="n"/>
      <c r="D77" s="7" t="n"/>
      <c r="E77" s="7" t="n"/>
      <c r="F77" s="8" t="n"/>
      <c r="G77" s="6" t="n"/>
      <c r="H77" s="9" t="n"/>
      <c r="I77" s="10" t="n"/>
      <c r="J77" s="10" t="n"/>
      <c r="K77" s="10" t="n"/>
      <c r="L77" s="11" t="n"/>
      <c r="M77" s="11" t="n"/>
      <c r="N77" s="5">
        <f>IF(L77="","",IF(M77&gt;=L77,"Pago",IF(TODAY()&gt;J77,"Em atraso","Em aberto")))</f>
        <v/>
      </c>
      <c r="O77" s="5">
        <f>IF(OR(N77="",J77=""),"",IF(N77="Pago",MAX(0,IF(K77="",J77,K77)-J77),MAX(0,TODAY()-J77)))</f>
        <v/>
      </c>
      <c r="P77" s="12">
        <f>IF(L77="","",IFERROR(M77/L77,0))</f>
        <v/>
      </c>
      <c r="Q77" s="13">
        <f>IF(D77="","",IFERROR(VLOOKUP(D77,'Resumo'!$H$7:$I$13,2,FALSE),0))</f>
        <v/>
      </c>
      <c r="R77" s="14" t="n"/>
    </row>
    <row r="78">
      <c r="A78" s="5">
        <f>IF(B78="","",72)</f>
        <v/>
      </c>
      <c r="B78" s="6" t="n"/>
      <c r="C78" s="7" t="n"/>
      <c r="D78" s="7" t="n"/>
      <c r="E78" s="7" t="n"/>
      <c r="F78" s="8" t="n"/>
      <c r="G78" s="6" t="n"/>
      <c r="H78" s="9" t="n"/>
      <c r="I78" s="10" t="n"/>
      <c r="J78" s="10" t="n"/>
      <c r="K78" s="10" t="n"/>
      <c r="L78" s="11" t="n"/>
      <c r="M78" s="11" t="n"/>
      <c r="N78" s="5">
        <f>IF(L78="","",IF(M78&gt;=L78,"Pago",IF(TODAY()&gt;J78,"Em atraso","Em aberto")))</f>
        <v/>
      </c>
      <c r="O78" s="5">
        <f>IF(OR(N78="",J78=""),"",IF(N78="Pago",MAX(0,IF(K78="",J78,K78)-J78),MAX(0,TODAY()-J78)))</f>
        <v/>
      </c>
      <c r="P78" s="12">
        <f>IF(L78="","",IFERROR(M78/L78,0))</f>
        <v/>
      </c>
      <c r="Q78" s="13">
        <f>IF(D78="","",IFERROR(VLOOKUP(D78,'Resumo'!$H$7:$I$13,2,FALSE),0))</f>
        <v/>
      </c>
      <c r="R78" s="14" t="n"/>
    </row>
    <row r="79">
      <c r="A79" s="5">
        <f>IF(B79="","",73)</f>
        <v/>
      </c>
      <c r="B79" s="6" t="n"/>
      <c r="C79" s="7" t="n"/>
      <c r="D79" s="7" t="n"/>
      <c r="E79" s="7" t="n"/>
      <c r="F79" s="8" t="n"/>
      <c r="G79" s="6" t="n"/>
      <c r="H79" s="9" t="n"/>
      <c r="I79" s="10" t="n"/>
      <c r="J79" s="10" t="n"/>
      <c r="K79" s="10" t="n"/>
      <c r="L79" s="11" t="n"/>
      <c r="M79" s="11" t="n"/>
      <c r="N79" s="5">
        <f>IF(L79="","",IF(M79&gt;=L79,"Pago",IF(TODAY()&gt;J79,"Em atraso","Em aberto")))</f>
        <v/>
      </c>
      <c r="O79" s="5">
        <f>IF(OR(N79="",J79=""),"",IF(N79="Pago",MAX(0,IF(K79="",J79,K79)-J79),MAX(0,TODAY()-J79)))</f>
        <v/>
      </c>
      <c r="P79" s="12">
        <f>IF(L79="","",IFERROR(M79/L79,0))</f>
        <v/>
      </c>
      <c r="Q79" s="13">
        <f>IF(D79="","",IFERROR(VLOOKUP(D79,'Resumo'!$H$7:$I$13,2,FALSE),0))</f>
        <v/>
      </c>
      <c r="R79" s="14" t="n"/>
    </row>
    <row r="80">
      <c r="A80" s="5">
        <f>IF(B80="","",74)</f>
        <v/>
      </c>
      <c r="B80" s="6" t="n"/>
      <c r="C80" s="7" t="n"/>
      <c r="D80" s="7" t="n"/>
      <c r="E80" s="7" t="n"/>
      <c r="F80" s="8" t="n"/>
      <c r="G80" s="6" t="n"/>
      <c r="H80" s="9" t="n"/>
      <c r="I80" s="10" t="n"/>
      <c r="J80" s="10" t="n"/>
      <c r="K80" s="10" t="n"/>
      <c r="L80" s="11" t="n"/>
      <c r="M80" s="11" t="n"/>
      <c r="N80" s="5">
        <f>IF(L80="","",IF(M80&gt;=L80,"Pago",IF(TODAY()&gt;J80,"Em atraso","Em aberto")))</f>
        <v/>
      </c>
      <c r="O80" s="5">
        <f>IF(OR(N80="",J80=""),"",IF(N80="Pago",MAX(0,IF(K80="",J80,K80)-J80),MAX(0,TODAY()-J80)))</f>
        <v/>
      </c>
      <c r="P80" s="12">
        <f>IF(L80="","",IFERROR(M80/L80,0))</f>
        <v/>
      </c>
      <c r="Q80" s="13">
        <f>IF(D80="","",IFERROR(VLOOKUP(D80,'Resumo'!$H$7:$I$13,2,FALSE),0))</f>
        <v/>
      </c>
      <c r="R80" s="14" t="n"/>
    </row>
    <row r="81">
      <c r="A81" s="5">
        <f>IF(B81="","",75)</f>
        <v/>
      </c>
      <c r="B81" s="6" t="n"/>
      <c r="C81" s="7" t="n"/>
      <c r="D81" s="7" t="n"/>
      <c r="E81" s="7" t="n"/>
      <c r="F81" s="8" t="n"/>
      <c r="G81" s="6" t="n"/>
      <c r="H81" s="9" t="n"/>
      <c r="I81" s="10" t="n"/>
      <c r="J81" s="10" t="n"/>
      <c r="K81" s="10" t="n"/>
      <c r="L81" s="11" t="n"/>
      <c r="M81" s="11" t="n"/>
      <c r="N81" s="5">
        <f>IF(L81="","",IF(M81&gt;=L81,"Pago",IF(TODAY()&gt;J81,"Em atraso","Em aberto")))</f>
        <v/>
      </c>
      <c r="O81" s="5">
        <f>IF(OR(N81="",J81=""),"",IF(N81="Pago",MAX(0,IF(K81="",J81,K81)-J81),MAX(0,TODAY()-J81)))</f>
        <v/>
      </c>
      <c r="P81" s="12">
        <f>IF(L81="","",IFERROR(M81/L81,0))</f>
        <v/>
      </c>
      <c r="Q81" s="13">
        <f>IF(D81="","",IFERROR(VLOOKUP(D81,'Resumo'!$H$7:$I$13,2,FALSE),0))</f>
        <v/>
      </c>
      <c r="R81" s="14" t="n"/>
    </row>
    <row r="82">
      <c r="A82" s="5">
        <f>IF(B82="","",76)</f>
        <v/>
      </c>
      <c r="B82" s="6" t="n"/>
      <c r="C82" s="7" t="n"/>
      <c r="D82" s="7" t="n"/>
      <c r="E82" s="7" t="n"/>
      <c r="F82" s="8" t="n"/>
      <c r="G82" s="6" t="n"/>
      <c r="H82" s="9" t="n"/>
      <c r="I82" s="10" t="n"/>
      <c r="J82" s="10" t="n"/>
      <c r="K82" s="10" t="n"/>
      <c r="L82" s="11" t="n"/>
      <c r="M82" s="11" t="n"/>
      <c r="N82" s="5">
        <f>IF(L82="","",IF(M82&gt;=L82,"Pago",IF(TODAY()&gt;J82,"Em atraso","Em aberto")))</f>
        <v/>
      </c>
      <c r="O82" s="5">
        <f>IF(OR(N82="",J82=""),"",IF(N82="Pago",MAX(0,IF(K82="",J82,K82)-J82),MAX(0,TODAY()-J82)))</f>
        <v/>
      </c>
      <c r="P82" s="12">
        <f>IF(L82="","",IFERROR(M82/L82,0))</f>
        <v/>
      </c>
      <c r="Q82" s="13">
        <f>IF(D82="","",IFERROR(VLOOKUP(D82,'Resumo'!$H$7:$I$13,2,FALSE),0))</f>
        <v/>
      </c>
      <c r="R82" s="14" t="n"/>
    </row>
    <row r="83">
      <c r="A83" s="5">
        <f>IF(B83="","",77)</f>
        <v/>
      </c>
      <c r="B83" s="6" t="n"/>
      <c r="C83" s="7" t="n"/>
      <c r="D83" s="7" t="n"/>
      <c r="E83" s="7" t="n"/>
      <c r="F83" s="8" t="n"/>
      <c r="G83" s="6" t="n"/>
      <c r="H83" s="9" t="n"/>
      <c r="I83" s="10" t="n"/>
      <c r="J83" s="10" t="n"/>
      <c r="K83" s="10" t="n"/>
      <c r="L83" s="11" t="n"/>
      <c r="M83" s="11" t="n"/>
      <c r="N83" s="5">
        <f>IF(L83="","",IF(M83&gt;=L83,"Pago",IF(TODAY()&gt;J83,"Em atraso","Em aberto")))</f>
        <v/>
      </c>
      <c r="O83" s="5">
        <f>IF(OR(N83="",J83=""),"",IF(N83="Pago",MAX(0,IF(K83="",J83,K83)-J83),MAX(0,TODAY()-J83)))</f>
        <v/>
      </c>
      <c r="P83" s="12">
        <f>IF(L83="","",IFERROR(M83/L83,0))</f>
        <v/>
      </c>
      <c r="Q83" s="13">
        <f>IF(D83="","",IFERROR(VLOOKUP(D83,'Resumo'!$H$7:$I$13,2,FALSE),0))</f>
        <v/>
      </c>
      <c r="R83" s="14" t="n"/>
    </row>
    <row r="84">
      <c r="A84" s="5">
        <f>IF(B84="","",78)</f>
        <v/>
      </c>
      <c r="B84" s="6" t="n"/>
      <c r="C84" s="7" t="n"/>
      <c r="D84" s="7" t="n"/>
      <c r="E84" s="7" t="n"/>
      <c r="F84" s="8" t="n"/>
      <c r="G84" s="6" t="n"/>
      <c r="H84" s="9" t="n"/>
      <c r="I84" s="10" t="n"/>
      <c r="J84" s="10" t="n"/>
      <c r="K84" s="10" t="n"/>
      <c r="L84" s="11" t="n"/>
      <c r="M84" s="11" t="n"/>
      <c r="N84" s="5">
        <f>IF(L84="","",IF(M84&gt;=L84,"Pago",IF(TODAY()&gt;J84,"Em atraso","Em aberto")))</f>
        <v/>
      </c>
      <c r="O84" s="5">
        <f>IF(OR(N84="",J84=""),"",IF(N84="Pago",MAX(0,IF(K84="",J84,K84)-J84),MAX(0,TODAY()-J84)))</f>
        <v/>
      </c>
      <c r="P84" s="12">
        <f>IF(L84="","",IFERROR(M84/L84,0))</f>
        <v/>
      </c>
      <c r="Q84" s="13">
        <f>IF(D84="","",IFERROR(VLOOKUP(D84,'Resumo'!$H$7:$I$13,2,FALSE),0))</f>
        <v/>
      </c>
      <c r="R84" s="14" t="n"/>
    </row>
    <row r="85">
      <c r="A85" s="5">
        <f>IF(B85="","",79)</f>
        <v/>
      </c>
      <c r="B85" s="6" t="n"/>
      <c r="C85" s="7" t="n"/>
      <c r="D85" s="7" t="n"/>
      <c r="E85" s="7" t="n"/>
      <c r="F85" s="8" t="n"/>
      <c r="G85" s="6" t="n"/>
      <c r="H85" s="9" t="n"/>
      <c r="I85" s="10" t="n"/>
      <c r="J85" s="10" t="n"/>
      <c r="K85" s="10" t="n"/>
      <c r="L85" s="11" t="n"/>
      <c r="M85" s="11" t="n"/>
      <c r="N85" s="5">
        <f>IF(L85="","",IF(M85&gt;=L85,"Pago",IF(TODAY()&gt;J85,"Em atraso","Em aberto")))</f>
        <v/>
      </c>
      <c r="O85" s="5">
        <f>IF(OR(N85="",J85=""),"",IF(N85="Pago",MAX(0,IF(K85="",J85,K85)-J85),MAX(0,TODAY()-J85)))</f>
        <v/>
      </c>
      <c r="P85" s="12">
        <f>IF(L85="","",IFERROR(M85/L85,0))</f>
        <v/>
      </c>
      <c r="Q85" s="13">
        <f>IF(D85="","",IFERROR(VLOOKUP(D85,'Resumo'!$H$7:$I$13,2,FALSE),0))</f>
        <v/>
      </c>
      <c r="R85" s="14" t="n"/>
    </row>
    <row r="86">
      <c r="A86" s="5">
        <f>IF(B86="","",80)</f>
        <v/>
      </c>
      <c r="B86" s="6" t="n"/>
      <c r="C86" s="7" t="n"/>
      <c r="D86" s="7" t="n"/>
      <c r="E86" s="7" t="n"/>
      <c r="F86" s="8" t="n"/>
      <c r="G86" s="6" t="n"/>
      <c r="H86" s="9" t="n"/>
      <c r="I86" s="10" t="n"/>
      <c r="J86" s="10" t="n"/>
      <c r="K86" s="10" t="n"/>
      <c r="L86" s="11" t="n"/>
      <c r="M86" s="11" t="n"/>
      <c r="N86" s="5">
        <f>IF(L86="","",IF(M86&gt;=L86,"Pago",IF(TODAY()&gt;J86,"Em atraso","Em aberto")))</f>
        <v/>
      </c>
      <c r="O86" s="5">
        <f>IF(OR(N86="",J86=""),"",IF(N86="Pago",MAX(0,IF(K86="",J86,K86)-J86),MAX(0,TODAY()-J86)))</f>
        <v/>
      </c>
      <c r="P86" s="12">
        <f>IF(L86="","",IFERROR(M86/L86,0))</f>
        <v/>
      </c>
      <c r="Q86" s="13">
        <f>IF(D86="","",IFERROR(VLOOKUP(D86,'Resumo'!$H$7:$I$13,2,FALSE),0))</f>
        <v/>
      </c>
      <c r="R86" s="14" t="n"/>
    </row>
    <row r="87">
      <c r="A87" s="5">
        <f>IF(B87="","",81)</f>
        <v/>
      </c>
      <c r="B87" s="6" t="n"/>
      <c r="C87" s="7" t="n"/>
      <c r="D87" s="7" t="n"/>
      <c r="E87" s="7" t="n"/>
      <c r="F87" s="8" t="n"/>
      <c r="G87" s="6" t="n"/>
      <c r="H87" s="9" t="n"/>
      <c r="I87" s="10" t="n"/>
      <c r="J87" s="10" t="n"/>
      <c r="K87" s="10" t="n"/>
      <c r="L87" s="11" t="n"/>
      <c r="M87" s="11" t="n"/>
      <c r="N87" s="5">
        <f>IF(L87="","",IF(M87&gt;=L87,"Pago",IF(TODAY()&gt;J87,"Em atraso","Em aberto")))</f>
        <v/>
      </c>
      <c r="O87" s="5">
        <f>IF(OR(N87="",J87=""),"",IF(N87="Pago",MAX(0,IF(K87="",J87,K87)-J87),MAX(0,TODAY()-J87)))</f>
        <v/>
      </c>
      <c r="P87" s="12">
        <f>IF(L87="","",IFERROR(M87/L87,0))</f>
        <v/>
      </c>
      <c r="Q87" s="13">
        <f>IF(D87="","",IFERROR(VLOOKUP(D87,'Resumo'!$H$7:$I$13,2,FALSE),0))</f>
        <v/>
      </c>
      <c r="R87" s="14" t="n"/>
    </row>
    <row r="88">
      <c r="A88" s="5">
        <f>IF(B88="","",82)</f>
        <v/>
      </c>
      <c r="B88" s="6" t="n"/>
      <c r="C88" s="7" t="n"/>
      <c r="D88" s="7" t="n"/>
      <c r="E88" s="7" t="n"/>
      <c r="F88" s="8" t="n"/>
      <c r="G88" s="6" t="n"/>
      <c r="H88" s="9" t="n"/>
      <c r="I88" s="10" t="n"/>
      <c r="J88" s="10" t="n"/>
      <c r="K88" s="10" t="n"/>
      <c r="L88" s="11" t="n"/>
      <c r="M88" s="11" t="n"/>
      <c r="N88" s="5">
        <f>IF(L88="","",IF(M88&gt;=L88,"Pago",IF(TODAY()&gt;J88,"Em atraso","Em aberto")))</f>
        <v/>
      </c>
      <c r="O88" s="5">
        <f>IF(OR(N88="",J88=""),"",IF(N88="Pago",MAX(0,IF(K88="",J88,K88)-J88),MAX(0,TODAY()-J88)))</f>
        <v/>
      </c>
      <c r="P88" s="12">
        <f>IF(L88="","",IFERROR(M88/L88,0))</f>
        <v/>
      </c>
      <c r="Q88" s="13">
        <f>IF(D88="","",IFERROR(VLOOKUP(D88,'Resumo'!$H$7:$I$13,2,FALSE),0))</f>
        <v/>
      </c>
      <c r="R88" s="14" t="n"/>
    </row>
    <row r="89">
      <c r="A89" s="5">
        <f>IF(B89="","",83)</f>
        <v/>
      </c>
      <c r="B89" s="6" t="n"/>
      <c r="C89" s="7" t="n"/>
      <c r="D89" s="7" t="n"/>
      <c r="E89" s="7" t="n"/>
      <c r="F89" s="8" t="n"/>
      <c r="G89" s="6" t="n"/>
      <c r="H89" s="9" t="n"/>
      <c r="I89" s="10" t="n"/>
      <c r="J89" s="10" t="n"/>
      <c r="K89" s="10" t="n"/>
      <c r="L89" s="11" t="n"/>
      <c r="M89" s="11" t="n"/>
      <c r="N89" s="5">
        <f>IF(L89="","",IF(M89&gt;=L89,"Pago",IF(TODAY()&gt;J89,"Em atraso","Em aberto")))</f>
        <v/>
      </c>
      <c r="O89" s="5">
        <f>IF(OR(N89="",J89=""),"",IF(N89="Pago",MAX(0,IF(K89="",J89,K89)-J89),MAX(0,TODAY()-J89)))</f>
        <v/>
      </c>
      <c r="P89" s="12">
        <f>IF(L89="","",IFERROR(M89/L89,0))</f>
        <v/>
      </c>
      <c r="Q89" s="13">
        <f>IF(D89="","",IFERROR(VLOOKUP(D89,'Resumo'!$H$7:$I$13,2,FALSE),0))</f>
        <v/>
      </c>
      <c r="R89" s="14" t="n"/>
    </row>
    <row r="90">
      <c r="A90" s="5">
        <f>IF(B90="","",84)</f>
        <v/>
      </c>
      <c r="B90" s="6" t="n"/>
      <c r="C90" s="7" t="n"/>
      <c r="D90" s="7" t="n"/>
      <c r="E90" s="7" t="n"/>
      <c r="F90" s="8" t="n"/>
      <c r="G90" s="6" t="n"/>
      <c r="H90" s="9" t="n"/>
      <c r="I90" s="10" t="n"/>
      <c r="J90" s="10" t="n"/>
      <c r="K90" s="10" t="n"/>
      <c r="L90" s="11" t="n"/>
      <c r="M90" s="11" t="n"/>
      <c r="N90" s="5">
        <f>IF(L90="","",IF(M90&gt;=L90,"Pago",IF(TODAY()&gt;J90,"Em atraso","Em aberto")))</f>
        <v/>
      </c>
      <c r="O90" s="5">
        <f>IF(OR(N90="",J90=""),"",IF(N90="Pago",MAX(0,IF(K90="",J90,K90)-J90),MAX(0,TODAY()-J90)))</f>
        <v/>
      </c>
      <c r="P90" s="12">
        <f>IF(L90="","",IFERROR(M90/L90,0))</f>
        <v/>
      </c>
      <c r="Q90" s="13">
        <f>IF(D90="","",IFERROR(VLOOKUP(D90,'Resumo'!$H$7:$I$13,2,FALSE),0))</f>
        <v/>
      </c>
      <c r="R90" s="14" t="n"/>
    </row>
    <row r="91">
      <c r="A91" s="5">
        <f>IF(B91="","",85)</f>
        <v/>
      </c>
      <c r="B91" s="6" t="n"/>
      <c r="C91" s="7" t="n"/>
      <c r="D91" s="7" t="n"/>
      <c r="E91" s="7" t="n"/>
      <c r="F91" s="8" t="n"/>
      <c r="G91" s="6" t="n"/>
      <c r="H91" s="9" t="n"/>
      <c r="I91" s="10" t="n"/>
      <c r="J91" s="10" t="n"/>
      <c r="K91" s="10" t="n"/>
      <c r="L91" s="11" t="n"/>
      <c r="M91" s="11" t="n"/>
      <c r="N91" s="5">
        <f>IF(L91="","",IF(M91&gt;=L91,"Pago",IF(TODAY()&gt;J91,"Em atraso","Em aberto")))</f>
        <v/>
      </c>
      <c r="O91" s="5">
        <f>IF(OR(N91="",J91=""),"",IF(N91="Pago",MAX(0,IF(K91="",J91,K91)-J91),MAX(0,TODAY()-J91)))</f>
        <v/>
      </c>
      <c r="P91" s="12">
        <f>IF(L91="","",IFERROR(M91/L91,0))</f>
        <v/>
      </c>
      <c r="Q91" s="13">
        <f>IF(D91="","",IFERROR(VLOOKUP(D91,'Resumo'!$H$7:$I$13,2,FALSE),0))</f>
        <v/>
      </c>
      <c r="R91" s="14" t="n"/>
    </row>
    <row r="92">
      <c r="A92" s="5">
        <f>IF(B92="","",86)</f>
        <v/>
      </c>
      <c r="B92" s="6" t="n"/>
      <c r="C92" s="7" t="n"/>
      <c r="D92" s="7" t="n"/>
      <c r="E92" s="7" t="n"/>
      <c r="F92" s="8" t="n"/>
      <c r="G92" s="6" t="n"/>
      <c r="H92" s="9" t="n"/>
      <c r="I92" s="10" t="n"/>
      <c r="J92" s="10" t="n"/>
      <c r="K92" s="10" t="n"/>
      <c r="L92" s="11" t="n"/>
      <c r="M92" s="11" t="n"/>
      <c r="N92" s="5">
        <f>IF(L92="","",IF(M92&gt;=L92,"Pago",IF(TODAY()&gt;J92,"Em atraso","Em aberto")))</f>
        <v/>
      </c>
      <c r="O92" s="5">
        <f>IF(OR(N92="",J92=""),"",IF(N92="Pago",MAX(0,IF(K92="",J92,K92)-J92),MAX(0,TODAY()-J92)))</f>
        <v/>
      </c>
      <c r="P92" s="12">
        <f>IF(L92="","",IFERROR(M92/L92,0))</f>
        <v/>
      </c>
      <c r="Q92" s="13">
        <f>IF(D92="","",IFERROR(VLOOKUP(D92,'Resumo'!$H$7:$I$13,2,FALSE),0))</f>
        <v/>
      </c>
      <c r="R92" s="14" t="n"/>
    </row>
    <row r="93">
      <c r="A93" s="5">
        <f>IF(B93="","",87)</f>
        <v/>
      </c>
      <c r="B93" s="6" t="n"/>
      <c r="C93" s="7" t="n"/>
      <c r="D93" s="7" t="n"/>
      <c r="E93" s="7" t="n"/>
      <c r="F93" s="8" t="n"/>
      <c r="G93" s="6" t="n"/>
      <c r="H93" s="9" t="n"/>
      <c r="I93" s="10" t="n"/>
      <c r="J93" s="10" t="n"/>
      <c r="K93" s="10" t="n"/>
      <c r="L93" s="11" t="n"/>
      <c r="M93" s="11" t="n"/>
      <c r="N93" s="5">
        <f>IF(L93="","",IF(M93&gt;=L93,"Pago",IF(TODAY()&gt;J93,"Em atraso","Em aberto")))</f>
        <v/>
      </c>
      <c r="O93" s="5">
        <f>IF(OR(N93="",J93=""),"",IF(N93="Pago",MAX(0,IF(K93="",J93,K93)-J93),MAX(0,TODAY()-J93)))</f>
        <v/>
      </c>
      <c r="P93" s="12">
        <f>IF(L93="","",IFERROR(M93/L93,0))</f>
        <v/>
      </c>
      <c r="Q93" s="13">
        <f>IF(D93="","",IFERROR(VLOOKUP(D93,'Resumo'!$H$7:$I$13,2,FALSE),0))</f>
        <v/>
      </c>
      <c r="R93" s="14" t="n"/>
    </row>
    <row r="94">
      <c r="A94" s="5">
        <f>IF(B94="","",88)</f>
        <v/>
      </c>
      <c r="B94" s="6" t="n"/>
      <c r="C94" s="7" t="n"/>
      <c r="D94" s="7" t="n"/>
      <c r="E94" s="7" t="n"/>
      <c r="F94" s="8" t="n"/>
      <c r="G94" s="6" t="n"/>
      <c r="H94" s="9" t="n"/>
      <c r="I94" s="10" t="n"/>
      <c r="J94" s="10" t="n"/>
      <c r="K94" s="10" t="n"/>
      <c r="L94" s="11" t="n"/>
      <c r="M94" s="11" t="n"/>
      <c r="N94" s="5">
        <f>IF(L94="","",IF(M94&gt;=L94,"Pago",IF(TODAY()&gt;J94,"Em atraso","Em aberto")))</f>
        <v/>
      </c>
      <c r="O94" s="5">
        <f>IF(OR(N94="",J94=""),"",IF(N94="Pago",MAX(0,IF(K94="",J94,K94)-J94),MAX(0,TODAY()-J94)))</f>
        <v/>
      </c>
      <c r="P94" s="12">
        <f>IF(L94="","",IFERROR(M94/L94,0))</f>
        <v/>
      </c>
      <c r="Q94" s="13">
        <f>IF(D94="","",IFERROR(VLOOKUP(D94,'Resumo'!$H$7:$I$13,2,FALSE),0))</f>
        <v/>
      </c>
      <c r="R94" s="14" t="n"/>
    </row>
    <row r="95">
      <c r="A95" s="5">
        <f>IF(B95="","",89)</f>
        <v/>
      </c>
      <c r="B95" s="6" t="n"/>
      <c r="C95" s="7" t="n"/>
      <c r="D95" s="7" t="n"/>
      <c r="E95" s="7" t="n"/>
      <c r="F95" s="8" t="n"/>
      <c r="G95" s="6" t="n"/>
      <c r="H95" s="9" t="n"/>
      <c r="I95" s="10" t="n"/>
      <c r="J95" s="10" t="n"/>
      <c r="K95" s="10" t="n"/>
      <c r="L95" s="11" t="n"/>
      <c r="M95" s="11" t="n"/>
      <c r="N95" s="5">
        <f>IF(L95="","",IF(M95&gt;=L95,"Pago",IF(TODAY()&gt;J95,"Em atraso","Em aberto")))</f>
        <v/>
      </c>
      <c r="O95" s="5">
        <f>IF(OR(N95="",J95=""),"",IF(N95="Pago",MAX(0,IF(K95="",J95,K95)-J95),MAX(0,TODAY()-J95)))</f>
        <v/>
      </c>
      <c r="P95" s="12">
        <f>IF(L95="","",IFERROR(M95/L95,0))</f>
        <v/>
      </c>
      <c r="Q95" s="13">
        <f>IF(D95="","",IFERROR(VLOOKUP(D95,'Resumo'!$H$7:$I$13,2,FALSE),0))</f>
        <v/>
      </c>
      <c r="R95" s="14" t="n"/>
    </row>
    <row r="96">
      <c r="A96" s="5">
        <f>IF(B96="","",90)</f>
        <v/>
      </c>
      <c r="B96" s="6" t="n"/>
      <c r="C96" s="7" t="n"/>
      <c r="D96" s="7" t="n"/>
      <c r="E96" s="7" t="n"/>
      <c r="F96" s="8" t="n"/>
      <c r="G96" s="6" t="n"/>
      <c r="H96" s="9" t="n"/>
      <c r="I96" s="10" t="n"/>
      <c r="J96" s="10" t="n"/>
      <c r="K96" s="10" t="n"/>
      <c r="L96" s="11" t="n"/>
      <c r="M96" s="11" t="n"/>
      <c r="N96" s="5">
        <f>IF(L96="","",IF(M96&gt;=L96,"Pago",IF(TODAY()&gt;J96,"Em atraso","Em aberto")))</f>
        <v/>
      </c>
      <c r="O96" s="5">
        <f>IF(OR(N96="",J96=""),"",IF(N96="Pago",MAX(0,IF(K96="",J96,K96)-J96),MAX(0,TODAY()-J96)))</f>
        <v/>
      </c>
      <c r="P96" s="12">
        <f>IF(L96="","",IFERROR(M96/L96,0))</f>
        <v/>
      </c>
      <c r="Q96" s="13">
        <f>IF(D96="","",IFERROR(VLOOKUP(D96,'Resumo'!$H$7:$I$13,2,FALSE),0))</f>
        <v/>
      </c>
      <c r="R96" s="14" t="n"/>
    </row>
    <row r="97">
      <c r="A97" s="5">
        <f>IF(B97="","",91)</f>
        <v/>
      </c>
      <c r="B97" s="6" t="n"/>
      <c r="C97" s="7" t="n"/>
      <c r="D97" s="7" t="n"/>
      <c r="E97" s="7" t="n"/>
      <c r="F97" s="8" t="n"/>
      <c r="G97" s="6" t="n"/>
      <c r="H97" s="9" t="n"/>
      <c r="I97" s="10" t="n"/>
      <c r="J97" s="10" t="n"/>
      <c r="K97" s="10" t="n"/>
      <c r="L97" s="11" t="n"/>
      <c r="M97" s="11" t="n"/>
      <c r="N97" s="5">
        <f>IF(L97="","",IF(M97&gt;=L97,"Pago",IF(TODAY()&gt;J97,"Em atraso","Em aberto")))</f>
        <v/>
      </c>
      <c r="O97" s="5">
        <f>IF(OR(N97="",J97=""),"",IF(N97="Pago",MAX(0,IF(K97="",J97,K97)-J97),MAX(0,TODAY()-J97)))</f>
        <v/>
      </c>
      <c r="P97" s="12">
        <f>IF(L97="","",IFERROR(M97/L97,0))</f>
        <v/>
      </c>
      <c r="Q97" s="13">
        <f>IF(D97="","",IFERROR(VLOOKUP(D97,'Resumo'!$H$7:$I$13,2,FALSE),0))</f>
        <v/>
      </c>
      <c r="R97" s="14" t="n"/>
    </row>
    <row r="98">
      <c r="A98" s="5">
        <f>IF(B98="","",92)</f>
        <v/>
      </c>
      <c r="B98" s="6" t="n"/>
      <c r="C98" s="7" t="n"/>
      <c r="D98" s="7" t="n"/>
      <c r="E98" s="7" t="n"/>
      <c r="F98" s="8" t="n"/>
      <c r="G98" s="6" t="n"/>
      <c r="H98" s="9" t="n"/>
      <c r="I98" s="10" t="n"/>
      <c r="J98" s="10" t="n"/>
      <c r="K98" s="10" t="n"/>
      <c r="L98" s="11" t="n"/>
      <c r="M98" s="11" t="n"/>
      <c r="N98" s="5">
        <f>IF(L98="","",IF(M98&gt;=L98,"Pago",IF(TODAY()&gt;J98,"Em atraso","Em aberto")))</f>
        <v/>
      </c>
      <c r="O98" s="5">
        <f>IF(OR(N98="",J98=""),"",IF(N98="Pago",MAX(0,IF(K98="",J98,K98)-J98),MAX(0,TODAY()-J98)))</f>
        <v/>
      </c>
      <c r="P98" s="12">
        <f>IF(L98="","",IFERROR(M98/L98,0))</f>
        <v/>
      </c>
      <c r="Q98" s="13">
        <f>IF(D98="","",IFERROR(VLOOKUP(D98,'Resumo'!$H$7:$I$13,2,FALSE),0))</f>
        <v/>
      </c>
      <c r="R98" s="14" t="n"/>
    </row>
    <row r="99">
      <c r="A99" s="5">
        <f>IF(B99="","",93)</f>
        <v/>
      </c>
      <c r="B99" s="6" t="n"/>
      <c r="C99" s="7" t="n"/>
      <c r="D99" s="7" t="n"/>
      <c r="E99" s="7" t="n"/>
      <c r="F99" s="8" t="n"/>
      <c r="G99" s="6" t="n"/>
      <c r="H99" s="9" t="n"/>
      <c r="I99" s="10" t="n"/>
      <c r="J99" s="10" t="n"/>
      <c r="K99" s="10" t="n"/>
      <c r="L99" s="11" t="n"/>
      <c r="M99" s="11" t="n"/>
      <c r="N99" s="5">
        <f>IF(L99="","",IF(M99&gt;=L99,"Pago",IF(TODAY()&gt;J99,"Em atraso","Em aberto")))</f>
        <v/>
      </c>
      <c r="O99" s="5">
        <f>IF(OR(N99="",J99=""),"",IF(N99="Pago",MAX(0,IF(K99="",J99,K99)-J99),MAX(0,TODAY()-J99)))</f>
        <v/>
      </c>
      <c r="P99" s="12">
        <f>IF(L99="","",IFERROR(M99/L99,0))</f>
        <v/>
      </c>
      <c r="Q99" s="13">
        <f>IF(D99="","",IFERROR(VLOOKUP(D99,'Resumo'!$H$7:$I$13,2,FALSE),0))</f>
        <v/>
      </c>
      <c r="R99" s="14" t="n"/>
    </row>
    <row r="100">
      <c r="A100" s="5">
        <f>IF(B100="","",94)</f>
        <v/>
      </c>
      <c r="B100" s="6" t="n"/>
      <c r="C100" s="7" t="n"/>
      <c r="D100" s="7" t="n"/>
      <c r="E100" s="7" t="n"/>
      <c r="F100" s="8" t="n"/>
      <c r="G100" s="6" t="n"/>
      <c r="H100" s="9" t="n"/>
      <c r="I100" s="10" t="n"/>
      <c r="J100" s="10" t="n"/>
      <c r="K100" s="10" t="n"/>
      <c r="L100" s="11" t="n"/>
      <c r="M100" s="11" t="n"/>
      <c r="N100" s="5">
        <f>IF(L100="","",IF(M100&gt;=L100,"Pago",IF(TODAY()&gt;J100,"Em atraso","Em aberto")))</f>
        <v/>
      </c>
      <c r="O100" s="5">
        <f>IF(OR(N100="",J100=""),"",IF(N100="Pago",MAX(0,IF(K100="",J100,K100)-J100),MAX(0,TODAY()-J100)))</f>
        <v/>
      </c>
      <c r="P100" s="12">
        <f>IF(L100="","",IFERROR(M100/L100,0))</f>
        <v/>
      </c>
      <c r="Q100" s="13">
        <f>IF(D100="","",IFERROR(VLOOKUP(D100,'Resumo'!$H$7:$I$13,2,FALSE),0))</f>
        <v/>
      </c>
      <c r="R100" s="14" t="n"/>
    </row>
    <row r="101">
      <c r="A101" s="5">
        <f>IF(B101="","",95)</f>
        <v/>
      </c>
      <c r="B101" s="6" t="n"/>
      <c r="C101" s="7" t="n"/>
      <c r="D101" s="7" t="n"/>
      <c r="E101" s="7" t="n"/>
      <c r="F101" s="8" t="n"/>
      <c r="G101" s="6" t="n"/>
      <c r="H101" s="9" t="n"/>
      <c r="I101" s="10" t="n"/>
      <c r="J101" s="10" t="n"/>
      <c r="K101" s="10" t="n"/>
      <c r="L101" s="11" t="n"/>
      <c r="M101" s="11" t="n"/>
      <c r="N101" s="5">
        <f>IF(L101="","",IF(M101&gt;=L101,"Pago",IF(TODAY()&gt;J101,"Em atraso","Em aberto")))</f>
        <v/>
      </c>
      <c r="O101" s="5">
        <f>IF(OR(N101="",J101=""),"",IF(N101="Pago",MAX(0,IF(K101="",J101,K101)-J101),MAX(0,TODAY()-J101)))</f>
        <v/>
      </c>
      <c r="P101" s="12">
        <f>IF(L101="","",IFERROR(M101/L101,0))</f>
        <v/>
      </c>
      <c r="Q101" s="13">
        <f>IF(D101="","",IFERROR(VLOOKUP(D101,'Resumo'!$H$7:$I$13,2,FALSE),0))</f>
        <v/>
      </c>
      <c r="R101" s="14" t="n"/>
    </row>
    <row r="102">
      <c r="A102" s="5">
        <f>IF(B102="","",96)</f>
        <v/>
      </c>
      <c r="B102" s="6" t="n"/>
      <c r="C102" s="7" t="n"/>
      <c r="D102" s="7" t="n"/>
      <c r="E102" s="7" t="n"/>
      <c r="F102" s="8" t="n"/>
      <c r="G102" s="6" t="n"/>
      <c r="H102" s="9" t="n"/>
      <c r="I102" s="10" t="n"/>
      <c r="J102" s="10" t="n"/>
      <c r="K102" s="10" t="n"/>
      <c r="L102" s="11" t="n"/>
      <c r="M102" s="11" t="n"/>
      <c r="N102" s="5">
        <f>IF(L102="","",IF(M102&gt;=L102,"Pago",IF(TODAY()&gt;J102,"Em atraso","Em aberto")))</f>
        <v/>
      </c>
      <c r="O102" s="5">
        <f>IF(OR(N102="",J102=""),"",IF(N102="Pago",MAX(0,IF(K102="",J102,K102)-J102),MAX(0,TODAY()-J102)))</f>
        <v/>
      </c>
      <c r="P102" s="12">
        <f>IF(L102="","",IFERROR(M102/L102,0))</f>
        <v/>
      </c>
      <c r="Q102" s="13">
        <f>IF(D102="","",IFERROR(VLOOKUP(D102,'Resumo'!$H$7:$I$13,2,FALSE),0))</f>
        <v/>
      </c>
      <c r="R102" s="14" t="n"/>
    </row>
    <row r="103">
      <c r="A103" s="5">
        <f>IF(B103="","",97)</f>
        <v/>
      </c>
      <c r="B103" s="6" t="n"/>
      <c r="C103" s="7" t="n"/>
      <c r="D103" s="7" t="n"/>
      <c r="E103" s="7" t="n"/>
      <c r="F103" s="8" t="n"/>
      <c r="G103" s="6" t="n"/>
      <c r="H103" s="9" t="n"/>
      <c r="I103" s="10" t="n"/>
      <c r="J103" s="10" t="n"/>
      <c r="K103" s="10" t="n"/>
      <c r="L103" s="11" t="n"/>
      <c r="M103" s="11" t="n"/>
      <c r="N103" s="5">
        <f>IF(L103="","",IF(M103&gt;=L103,"Pago",IF(TODAY()&gt;J103,"Em atraso","Em aberto")))</f>
        <v/>
      </c>
      <c r="O103" s="5">
        <f>IF(OR(N103="",J103=""),"",IF(N103="Pago",MAX(0,IF(K103="",J103,K103)-J103),MAX(0,TODAY()-J103)))</f>
        <v/>
      </c>
      <c r="P103" s="12">
        <f>IF(L103="","",IFERROR(M103/L103,0))</f>
        <v/>
      </c>
      <c r="Q103" s="13">
        <f>IF(D103="","",IFERROR(VLOOKUP(D103,'Resumo'!$H$7:$I$13,2,FALSE),0))</f>
        <v/>
      </c>
      <c r="R103" s="14" t="n"/>
    </row>
    <row r="104">
      <c r="A104" s="5">
        <f>IF(B104="","",98)</f>
        <v/>
      </c>
      <c r="B104" s="6" t="n"/>
      <c r="C104" s="7" t="n"/>
      <c r="D104" s="7" t="n"/>
      <c r="E104" s="7" t="n"/>
      <c r="F104" s="8" t="n"/>
      <c r="G104" s="6" t="n"/>
      <c r="H104" s="9" t="n"/>
      <c r="I104" s="10" t="n"/>
      <c r="J104" s="10" t="n"/>
      <c r="K104" s="10" t="n"/>
      <c r="L104" s="11" t="n"/>
      <c r="M104" s="11" t="n"/>
      <c r="N104" s="5">
        <f>IF(L104="","",IF(M104&gt;=L104,"Pago",IF(TODAY()&gt;J104,"Em atraso","Em aberto")))</f>
        <v/>
      </c>
      <c r="O104" s="5">
        <f>IF(OR(N104="",J104=""),"",IF(N104="Pago",MAX(0,IF(K104="",J104,K104)-J104),MAX(0,TODAY()-J104)))</f>
        <v/>
      </c>
      <c r="P104" s="12">
        <f>IF(L104="","",IFERROR(M104/L104,0))</f>
        <v/>
      </c>
      <c r="Q104" s="13">
        <f>IF(D104="","",IFERROR(VLOOKUP(D104,'Resumo'!$H$7:$I$13,2,FALSE),0))</f>
        <v/>
      </c>
      <c r="R104" s="14" t="n"/>
    </row>
    <row r="105">
      <c r="A105" s="5">
        <f>IF(B105="","",99)</f>
        <v/>
      </c>
      <c r="B105" s="6" t="n"/>
      <c r="C105" s="7" t="n"/>
      <c r="D105" s="7" t="n"/>
      <c r="E105" s="7" t="n"/>
      <c r="F105" s="8" t="n"/>
      <c r="G105" s="6" t="n"/>
      <c r="H105" s="9" t="n"/>
      <c r="I105" s="10" t="n"/>
      <c r="J105" s="10" t="n"/>
      <c r="K105" s="10" t="n"/>
      <c r="L105" s="11" t="n"/>
      <c r="M105" s="11" t="n"/>
      <c r="N105" s="5">
        <f>IF(L105="","",IF(M105&gt;=L105,"Pago",IF(TODAY()&gt;J105,"Em atraso","Em aberto")))</f>
        <v/>
      </c>
      <c r="O105" s="5">
        <f>IF(OR(N105="",J105=""),"",IF(N105="Pago",MAX(0,IF(K105="",J105,K105)-J105),MAX(0,TODAY()-J105)))</f>
        <v/>
      </c>
      <c r="P105" s="12">
        <f>IF(L105="","",IFERROR(M105/L105,0))</f>
        <v/>
      </c>
      <c r="Q105" s="13">
        <f>IF(D105="","",IFERROR(VLOOKUP(D105,'Resumo'!$H$7:$I$13,2,FALSE),0))</f>
        <v/>
      </c>
      <c r="R105" s="14" t="n"/>
    </row>
    <row r="106">
      <c r="A106" s="5">
        <f>IF(B106="","",100)</f>
        <v/>
      </c>
      <c r="B106" s="6" t="n"/>
      <c r="C106" s="7" t="n"/>
      <c r="D106" s="7" t="n"/>
      <c r="E106" s="7" t="n"/>
      <c r="F106" s="8" t="n"/>
      <c r="G106" s="6" t="n"/>
      <c r="H106" s="9" t="n"/>
      <c r="I106" s="10" t="n"/>
      <c r="J106" s="10" t="n"/>
      <c r="K106" s="10" t="n"/>
      <c r="L106" s="11" t="n"/>
      <c r="M106" s="11" t="n"/>
      <c r="N106" s="5">
        <f>IF(L106="","",IF(M106&gt;=L106,"Pago",IF(TODAY()&gt;J106,"Em atraso","Em aberto")))</f>
        <v/>
      </c>
      <c r="O106" s="5">
        <f>IF(OR(N106="",J106=""),"",IF(N106="Pago",MAX(0,IF(K106="",J106,K106)-J106),MAX(0,TODAY()-J106)))</f>
        <v/>
      </c>
      <c r="P106" s="12">
        <f>IF(L106="","",IFERROR(M106/L106,0))</f>
        <v/>
      </c>
      <c r="Q106" s="13">
        <f>IF(D106="","",IFERROR(VLOOKUP(D106,'Resumo'!$H$7:$I$13,2,FALSE),0))</f>
        <v/>
      </c>
      <c r="R106" s="14" t="n"/>
    </row>
  </sheetData>
  <autoFilter ref="A6:R106"/>
  <mergeCells count="1">
    <mergeCell ref="A1:R1"/>
  </mergeCells>
  <conditionalFormatting sqref="N7:N106">
    <cfRule type="expression" priority="1" dxfId="0" stopIfTrue="1">
      <formula>$N7="Pago"</formula>
    </cfRule>
    <cfRule type="expression" priority="2" dxfId="1" stopIfTrue="1">
      <formula>$N7="Em atraso"</formula>
    </cfRule>
    <cfRule type="expression" priority="3" dxfId="2" stopIfTrue="1">
      <formula>$N7="Em aberto"</formula>
    </cfRule>
  </conditionalFormatting>
  <conditionalFormatting sqref="O7:O106">
    <cfRule type="cellIs" priority="4" operator="greaterThan" dxfId="3">
      <formula>0</formula>
    </cfRule>
  </conditionalFormatting>
  <dataValidations count="4">
    <dataValidation sqref="B7:B106" showErrorMessage="1" showInputMessage="1" allowBlank="1" type="list">
      <formula1>"A Pagar,A Receber"</formula1>
    </dataValidation>
    <dataValidation sqref="D7:D106" showErrorMessage="1" showInputMessage="1" allowBlank="1" type="list">
      <formula1>"Aluguel,Fornecedores,Impostos,Folha de pagamento,Serviços,Vendas,Marketing"</formula1>
    </dataValidation>
    <dataValidation sqref="G7:G106" showErrorMessage="1" showInputMessage="1" allowBlank="1" type="list">
      <formula1>"São Paulo,Rio de Janeiro,Belo Horizonte,Curitiba,Porto Alegre,Salvador,Recife,Fortaleza,Brasília,Campinas"</formula1>
    </dataValidation>
    <dataValidation sqref="L7:M106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hidden="1" width="13" customWidth="1" min="5" max="5"/>
    <col width="4" customWidth="1" min="6" max="6"/>
    <col width="4" customWidth="1" min="7" max="7"/>
    <col width="24" customWidth="1" min="8" max="8"/>
    <col width="18" customWidth="1" min="9" max="9"/>
    <col width="18" customWidth="1" min="10" max="10"/>
    <col width="4" customWidth="1" min="11" max="11"/>
    <col width="15" customWidth="1" min="12" max="12"/>
    <col width="15" customWidth="1" min="13" max="13"/>
    <col width="15" customWidth="1" min="14" max="14"/>
  </cols>
  <sheetData>
    <row r="1" ht="30" customHeight="1">
      <c r="A1" s="1" t="inlineStr">
        <is>
          <t>RESUMO | VISÃO FINANCEIRA CONSOLIDADA</t>
        </is>
      </c>
    </row>
    <row r="2">
      <c r="A2" s="2" t="inlineStr">
        <is>
          <t>Indicadores alimentados pelos 100 lançamentos preparados na aba Lançamentos.</t>
        </is>
      </c>
    </row>
    <row r="3">
      <c r="A3" s="15" t="inlineStr">
        <is>
          <t>INDICADORES-CHAVE</t>
        </is>
      </c>
    </row>
    <row r="4">
      <c r="A4" s="16" t="inlineStr">
        <is>
          <t>Total previsto</t>
        </is>
      </c>
      <c r="B4" s="17">
        <f>SUM('Lançamentos'!$L$7:$L$106)</f>
        <v/>
      </c>
    </row>
    <row r="5">
      <c r="A5" s="16" t="inlineStr">
        <is>
          <t>Total pago</t>
        </is>
      </c>
      <c r="B5" s="17">
        <f>SUM('Lançamentos'!$M$7:$M$106)</f>
        <v/>
      </c>
    </row>
    <row r="6">
      <c r="A6" s="16" t="inlineStr">
        <is>
          <t>Total em aberto</t>
        </is>
      </c>
      <c r="B6" s="17">
        <f>SUMIF('Lançamentos'!$N$7:$N$106,"Em aberto",'Lançamentos'!$L$7:$L$106)</f>
        <v/>
      </c>
      <c r="H6" s="4" t="inlineStr">
        <is>
          <t>Categoria</t>
        </is>
      </c>
      <c r="I6" s="4" t="inlineStr">
        <is>
          <t>Orçamento</t>
        </is>
      </c>
      <c r="J6" s="4" t="inlineStr">
        <is>
          <t>Total previsto</t>
        </is>
      </c>
    </row>
    <row r="7">
      <c r="A7" s="16" t="inlineStr">
        <is>
          <t>Total em atraso</t>
        </is>
      </c>
      <c r="B7" s="17">
        <f>SUMIF('Lançamentos'!$N$7:$N$106,"Em atraso",'Lançamentos'!$L$7:$L$106)</f>
        <v/>
      </c>
      <c r="H7" s="18" t="inlineStr">
        <is>
          <t>Aluguel</t>
        </is>
      </c>
      <c r="I7" s="19" t="n">
        <v>8000</v>
      </c>
      <c r="J7" s="19">
        <f>SUMIF('Lançamentos'!$D$7:$D$106,H7,'Lançamentos'!$L$7:$L$106)</f>
        <v/>
      </c>
    </row>
    <row r="8">
      <c r="A8" s="16" t="inlineStr">
        <is>
          <t>Percentual geral pago</t>
        </is>
      </c>
      <c r="B8" s="20">
        <f>IFERROR(B5/B4,0)</f>
        <v/>
      </c>
      <c r="H8" s="21" t="inlineStr">
        <is>
          <t>Fornecedores</t>
        </is>
      </c>
      <c r="I8" s="22" t="n">
        <v>15000</v>
      </c>
      <c r="J8" s="22">
        <f>SUMIF('Lançamentos'!$D$7:$D$106,H8,'Lançamentos'!$L$7:$L$106)</f>
        <v/>
      </c>
    </row>
    <row r="9">
      <c r="A9" s="16" t="inlineStr">
        <is>
          <t>Quantidade de contas em atraso</t>
        </is>
      </c>
      <c r="B9" s="23">
        <f>COUNTIF('Lançamentos'!$N$7:$N$106,"Em atraso")</f>
        <v/>
      </c>
      <c r="H9" s="18" t="inlineStr">
        <is>
          <t>Impostos</t>
        </is>
      </c>
      <c r="I9" s="19" t="n">
        <v>6000</v>
      </c>
      <c r="J9" s="19">
        <f>SUMIF('Lançamentos'!$D$7:$D$106,H9,'Lançamentos'!$L$7:$L$106)</f>
        <v/>
      </c>
    </row>
    <row r="10">
      <c r="A10" s="16" t="inlineStr">
        <is>
          <t>Valor médio das contas</t>
        </is>
      </c>
      <c r="B10" s="17">
        <f>IFERROR(AVERAGE('Lançamentos'!$L$7:$L$106),0)</f>
        <v/>
      </c>
      <c r="H10" s="21" t="inlineStr">
        <is>
          <t>Folha de pagamento</t>
        </is>
      </c>
      <c r="I10" s="22" t="n">
        <v>20000</v>
      </c>
      <c r="J10" s="22">
        <f>SUMIF('Lançamentos'!$D$7:$D$106,H10,'Lançamentos'!$L$7:$L$106)</f>
        <v/>
      </c>
    </row>
    <row r="11">
      <c r="H11" s="18" t="inlineStr">
        <is>
          <t>Serviços</t>
        </is>
      </c>
      <c r="I11" s="19" t="n">
        <v>5000</v>
      </c>
      <c r="J11" s="19">
        <f>SUMIF('Lançamentos'!$D$7:$D$106,H11,'Lançamentos'!$L$7:$L$106)</f>
        <v/>
      </c>
    </row>
    <row r="12">
      <c r="H12" s="21" t="inlineStr">
        <is>
          <t>Vendas</t>
        </is>
      </c>
      <c r="I12" s="22" t="n">
        <v>25000</v>
      </c>
      <c r="J12" s="22">
        <f>SUMIF('Lançamentos'!$D$7:$D$106,H12,'Lançamentos'!$L$7:$L$106)</f>
        <v/>
      </c>
    </row>
    <row r="13">
      <c r="H13" s="18" t="inlineStr">
        <is>
          <t>Marketing</t>
        </is>
      </c>
      <c r="I13" s="19" t="n">
        <v>4000</v>
      </c>
      <c r="J13" s="19">
        <f>SUMIF('Lançamentos'!$D$7:$D$106,H13,'Lançamentos'!$L$7:$L$106)</f>
        <v/>
      </c>
    </row>
    <row r="14"/>
    <row r="15"/>
    <row r="16">
      <c r="H16" s="4" t="inlineStr">
        <is>
          <t>Status</t>
        </is>
      </c>
      <c r="I16" s="4" t="inlineStr">
        <is>
          <t>Valor previsto</t>
        </is>
      </c>
    </row>
    <row r="17">
      <c r="H17" s="18" t="inlineStr">
        <is>
          <t>Pago</t>
        </is>
      </c>
      <c r="I17" s="19">
        <f>SUMIF('Lançamentos'!$N$7:$N$106,H17,'Lançamentos'!$L$7:$L$106)</f>
        <v/>
      </c>
    </row>
    <row r="18">
      <c r="A18" s="15" t="inlineStr">
        <is>
          <t>EVOLUÇÃO MENSAL | JANEIRO A SETEMBRO DE 2026</t>
        </is>
      </c>
      <c r="H18" s="21" t="inlineStr">
        <is>
          <t>Em aberto</t>
        </is>
      </c>
      <c r="I18" s="22">
        <f>SUMIF('Lançamentos'!$N$7:$N$106,H18,'Lançamentos'!$L$7:$L$106)</f>
        <v/>
      </c>
    </row>
    <row r="19">
      <c r="A19" s="4" t="inlineStr">
        <is>
          <t>Mês</t>
        </is>
      </c>
      <c r="B19" s="4" t="inlineStr">
        <is>
          <t>Total a pagar</t>
        </is>
      </c>
      <c r="C19" s="4" t="inlineStr">
        <is>
          <t>Total a receber</t>
        </is>
      </c>
      <c r="D19" s="4" t="inlineStr">
        <is>
          <t>Total pago</t>
        </is>
      </c>
      <c r="E19" s="4" t="inlineStr">
        <is>
          <t>Data-base</t>
        </is>
      </c>
      <c r="H19" s="18" t="inlineStr">
        <is>
          <t>Em atraso</t>
        </is>
      </c>
      <c r="I19" s="19">
        <f>SUMIF('Lançamentos'!$N$7:$N$106,H19,'Lançamentos'!$L$7:$L$106)</f>
        <v/>
      </c>
    </row>
    <row r="20">
      <c r="A20" s="21" t="inlineStr">
        <is>
          <t>Janeiro/2026</t>
        </is>
      </c>
      <c r="B20" s="22">
        <f>SUMIFS('Lançamentos'!$L$7:$L$106,'Lançamentos'!$J$7:$J$106,"&gt;="&amp;$E20,'Lançamentos'!$J$7:$J$106,"&lt;"&amp;EDATE($E20,1),'Lançamentos'!$B$7:$B$106,"A Pagar")</f>
        <v/>
      </c>
      <c r="C20" s="22">
        <f>SUMIFS('Lançamentos'!$L$7:$L$106,'Lançamentos'!$J$7:$J$106,"&gt;="&amp;$E20,'Lançamentos'!$J$7:$J$106,"&lt;"&amp;EDATE($E20,1),'Lançamentos'!$B$7:$B$106,"A Receber")</f>
        <v/>
      </c>
      <c r="D20" s="22">
        <f>SUMIFS('Lançamentos'!$M$7:$M$106,'Lançamentos'!$K$7:$K$106,"&gt;="&amp;$E20,'Lançamentos'!$K$7:$K$106,"&lt;"&amp;EDATE($E20,1))</f>
        <v/>
      </c>
      <c r="E20" s="24" t="n">
        <v>46023</v>
      </c>
    </row>
    <row r="21">
      <c r="A21" s="18" t="inlineStr">
        <is>
          <t>Fevereiro/2026</t>
        </is>
      </c>
      <c r="B21" s="19">
        <f>SUMIFS('Lançamentos'!$L$7:$L$106,'Lançamentos'!$J$7:$J$106,"&gt;="&amp;$E21,'Lançamentos'!$J$7:$J$106,"&lt;"&amp;EDATE($E21,1),'Lançamentos'!$B$7:$B$106,"A Pagar")</f>
        <v/>
      </c>
      <c r="C21" s="19">
        <f>SUMIFS('Lançamentos'!$L$7:$L$106,'Lançamentos'!$J$7:$J$106,"&gt;="&amp;$E21,'Lançamentos'!$J$7:$J$106,"&lt;"&amp;EDATE($E21,1),'Lançamentos'!$B$7:$B$106,"A Receber")</f>
        <v/>
      </c>
      <c r="D21" s="19">
        <f>SUMIFS('Lançamentos'!$M$7:$M$106,'Lançamentos'!$K$7:$K$106,"&gt;="&amp;$E21,'Lançamentos'!$K$7:$K$106,"&lt;"&amp;EDATE($E21,1))</f>
        <v/>
      </c>
      <c r="E21" s="25" t="n">
        <v>46054</v>
      </c>
    </row>
    <row r="22">
      <c r="A22" s="21" t="inlineStr">
        <is>
          <t>Março/2026</t>
        </is>
      </c>
      <c r="B22" s="22">
        <f>SUMIFS('Lançamentos'!$L$7:$L$106,'Lançamentos'!$J$7:$J$106,"&gt;="&amp;$E22,'Lançamentos'!$J$7:$J$106,"&lt;"&amp;EDATE($E22,1),'Lançamentos'!$B$7:$B$106,"A Pagar")</f>
        <v/>
      </c>
      <c r="C22" s="22">
        <f>SUMIFS('Lançamentos'!$L$7:$L$106,'Lançamentos'!$J$7:$J$106,"&gt;="&amp;$E22,'Lançamentos'!$J$7:$J$106,"&lt;"&amp;EDATE($E22,1),'Lançamentos'!$B$7:$B$106,"A Receber")</f>
        <v/>
      </c>
      <c r="D22" s="22">
        <f>SUMIFS('Lançamentos'!$M$7:$M$106,'Lançamentos'!$K$7:$K$106,"&gt;="&amp;$E22,'Lançamentos'!$K$7:$K$106,"&lt;"&amp;EDATE($E22,1))</f>
        <v/>
      </c>
      <c r="E22" s="24" t="n">
        <v>46082</v>
      </c>
    </row>
    <row r="23">
      <c r="A23" s="18" t="inlineStr">
        <is>
          <t>Abril/2026</t>
        </is>
      </c>
      <c r="B23" s="19">
        <f>SUMIFS('Lançamentos'!$L$7:$L$106,'Lançamentos'!$J$7:$J$106,"&gt;="&amp;$E23,'Lançamentos'!$J$7:$J$106,"&lt;"&amp;EDATE($E23,1),'Lançamentos'!$B$7:$B$106,"A Pagar")</f>
        <v/>
      </c>
      <c r="C23" s="19">
        <f>SUMIFS('Lançamentos'!$L$7:$L$106,'Lançamentos'!$J$7:$J$106,"&gt;="&amp;$E23,'Lançamentos'!$J$7:$J$106,"&lt;"&amp;EDATE($E23,1),'Lançamentos'!$B$7:$B$106,"A Receber")</f>
        <v/>
      </c>
      <c r="D23" s="19">
        <f>SUMIFS('Lançamentos'!$M$7:$M$106,'Lançamentos'!$K$7:$K$106,"&gt;="&amp;$E23,'Lançamentos'!$K$7:$K$106,"&lt;"&amp;EDATE($E23,1))</f>
        <v/>
      </c>
      <c r="E23" s="25" t="n">
        <v>46113</v>
      </c>
    </row>
    <row r="24">
      <c r="A24" s="21" t="inlineStr">
        <is>
          <t>Maio/2026</t>
        </is>
      </c>
      <c r="B24" s="22">
        <f>SUMIFS('Lançamentos'!$L$7:$L$106,'Lançamentos'!$J$7:$J$106,"&gt;="&amp;$E24,'Lançamentos'!$J$7:$J$106,"&lt;"&amp;EDATE($E24,1),'Lançamentos'!$B$7:$B$106,"A Pagar")</f>
        <v/>
      </c>
      <c r="C24" s="22">
        <f>SUMIFS('Lançamentos'!$L$7:$L$106,'Lançamentos'!$J$7:$J$106,"&gt;="&amp;$E24,'Lançamentos'!$J$7:$J$106,"&lt;"&amp;EDATE($E24,1),'Lançamentos'!$B$7:$B$106,"A Receber")</f>
        <v/>
      </c>
      <c r="D24" s="22">
        <f>SUMIFS('Lançamentos'!$M$7:$M$106,'Lançamentos'!$K$7:$K$106,"&gt;="&amp;$E24,'Lançamentos'!$K$7:$K$106,"&lt;"&amp;EDATE($E24,1))</f>
        <v/>
      </c>
      <c r="E24" s="24" t="n">
        <v>46143</v>
      </c>
    </row>
    <row r="25">
      <c r="A25" s="18" t="inlineStr">
        <is>
          <t>Junho/2026</t>
        </is>
      </c>
      <c r="B25" s="19">
        <f>SUMIFS('Lançamentos'!$L$7:$L$106,'Lançamentos'!$J$7:$J$106,"&gt;="&amp;$E25,'Lançamentos'!$J$7:$J$106,"&lt;"&amp;EDATE($E25,1),'Lançamentos'!$B$7:$B$106,"A Pagar")</f>
        <v/>
      </c>
      <c r="C25" s="19">
        <f>SUMIFS('Lançamentos'!$L$7:$L$106,'Lançamentos'!$J$7:$J$106,"&gt;="&amp;$E25,'Lançamentos'!$J$7:$J$106,"&lt;"&amp;EDATE($E25,1),'Lançamentos'!$B$7:$B$106,"A Receber")</f>
        <v/>
      </c>
      <c r="D25" s="19">
        <f>SUMIFS('Lançamentos'!$M$7:$M$106,'Lançamentos'!$K$7:$K$106,"&gt;="&amp;$E25,'Lançamentos'!$K$7:$K$106,"&lt;"&amp;EDATE($E25,1))</f>
        <v/>
      </c>
      <c r="E25" s="25" t="n">
        <v>46174</v>
      </c>
    </row>
    <row r="26">
      <c r="A26" s="21" t="inlineStr">
        <is>
          <t>Julho/2026</t>
        </is>
      </c>
      <c r="B26" s="22">
        <f>SUMIFS('Lançamentos'!$L$7:$L$106,'Lançamentos'!$J$7:$J$106,"&gt;="&amp;$E26,'Lançamentos'!$J$7:$J$106,"&lt;"&amp;EDATE($E26,1),'Lançamentos'!$B$7:$B$106,"A Pagar")</f>
        <v/>
      </c>
      <c r="C26" s="22">
        <f>SUMIFS('Lançamentos'!$L$7:$L$106,'Lançamentos'!$J$7:$J$106,"&gt;="&amp;$E26,'Lançamentos'!$J$7:$J$106,"&lt;"&amp;EDATE($E26,1),'Lançamentos'!$B$7:$B$106,"A Receber")</f>
        <v/>
      </c>
      <c r="D26" s="22">
        <f>SUMIFS('Lançamentos'!$M$7:$M$106,'Lançamentos'!$K$7:$K$106,"&gt;="&amp;$E26,'Lançamentos'!$K$7:$K$106,"&lt;"&amp;EDATE($E26,1))</f>
        <v/>
      </c>
      <c r="E26" s="24" t="n">
        <v>46204</v>
      </c>
    </row>
    <row r="27">
      <c r="A27" s="18" t="inlineStr">
        <is>
          <t>Agosto/2026</t>
        </is>
      </c>
      <c r="B27" s="19">
        <f>SUMIFS('Lançamentos'!$L$7:$L$106,'Lançamentos'!$J$7:$J$106,"&gt;="&amp;$E27,'Lançamentos'!$J$7:$J$106,"&lt;"&amp;EDATE($E27,1),'Lançamentos'!$B$7:$B$106,"A Pagar")</f>
        <v/>
      </c>
      <c r="C27" s="19">
        <f>SUMIFS('Lançamentos'!$L$7:$L$106,'Lançamentos'!$J$7:$J$106,"&gt;="&amp;$E27,'Lançamentos'!$J$7:$J$106,"&lt;"&amp;EDATE($E27,1),'Lançamentos'!$B$7:$B$106,"A Receber")</f>
        <v/>
      </c>
      <c r="D27" s="19">
        <f>SUMIFS('Lançamentos'!$M$7:$M$106,'Lançamentos'!$K$7:$K$106,"&gt;="&amp;$E27,'Lançamentos'!$K$7:$K$106,"&lt;"&amp;EDATE($E27,1))</f>
        <v/>
      </c>
      <c r="E27" s="25" t="n">
        <v>46235</v>
      </c>
    </row>
    <row r="28">
      <c r="A28" s="21" t="inlineStr">
        <is>
          <t>Setembro/2026</t>
        </is>
      </c>
      <c r="B28" s="22">
        <f>SUMIFS('Lançamentos'!$L$7:$L$106,'Lançamentos'!$J$7:$J$106,"&gt;="&amp;$E28,'Lançamentos'!$J$7:$J$106,"&lt;"&amp;EDATE($E28,1),'Lançamentos'!$B$7:$B$106,"A Pagar")</f>
        <v/>
      </c>
      <c r="C28" s="22">
        <f>SUMIFS('Lançamentos'!$L$7:$L$106,'Lançamentos'!$J$7:$J$106,"&gt;="&amp;$E28,'Lançamentos'!$J$7:$J$106,"&lt;"&amp;EDATE($E28,1),'Lançamentos'!$B$7:$B$106,"A Receber")</f>
        <v/>
      </c>
      <c r="D28" s="22">
        <f>SUMIFS('Lançamentos'!$M$7:$M$106,'Lançamentos'!$K$7:$K$106,"&gt;="&amp;$E28,'Lançamentos'!$K$7:$K$106,"&lt;"&amp;EDATE($E28,1))</f>
        <v/>
      </c>
      <c r="E28" s="24" t="n">
        <v>46266</v>
      </c>
    </row>
  </sheetData>
  <mergeCells count="1">
    <mergeCell ref="A1:N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" t="inlineStr">
        <is>
          <t>INSTRUÇÕES | USO OPERACIONAL DO CONTROLE DE CONTAS</t>
        </is>
      </c>
    </row>
    <row r="2"/>
    <row r="3">
      <c r="A3" s="4" t="inlineStr">
        <is>
          <t>Tema</t>
        </is>
      </c>
      <c r="B3" s="4" t="inlineStr">
        <is>
          <t>Orientação operacional</t>
        </is>
      </c>
    </row>
    <row r="4" ht="44" customHeight="1">
      <c r="A4" s="26" t="inlineStr">
        <is>
          <t>Objetivo do controle</t>
        </is>
      </c>
      <c r="B4" s="27" t="inlineStr">
        <is>
          <t>Utilize o workbook para acompanhar contas a pagar e a receber, vencimentos, pagamentos, valores em aberto, risco de inadimplência e orçamento por categoria.</t>
        </is>
      </c>
    </row>
    <row r="5" ht="44" customHeight="1">
      <c r="A5" s="26" t="inlineStr">
        <is>
          <t>Cadastro de contas</t>
        </is>
      </c>
      <c r="B5" s="28" t="inlineStr">
        <is>
          <t>Na aba Lançamentos, preencha os campos em amarelo-claro. Cada linha representa uma conta. O ID, o status, os dias em atraso, o percentual pago e o orçamento da categoria são calculados automaticamente.</t>
        </is>
      </c>
    </row>
    <row r="6" ht="44" customHeight="1">
      <c r="A6" s="26" t="inlineStr">
        <is>
          <t>Tipo de lançamento</t>
        </is>
      </c>
      <c r="B6" s="27" t="inlineStr">
        <is>
          <t>Selecione A Pagar para obrigações da empresa e A Receber para valores esperados de clientes, contratos, vendas ou outros recebimentos.</t>
        </is>
      </c>
    </row>
    <row r="7" ht="44" customHeight="1">
      <c r="A7" s="26" t="inlineStr">
        <is>
          <t>NF-e e CNPJ/CPF</t>
        </is>
      </c>
      <c r="B7" s="28" t="inlineStr">
        <is>
          <t>Preencha NF-e e CNPJ/CPF como texto para preservar zeros à esquerda, pontuação e identificadores completos. Informe apenas dados necessários à gestão financeira.</t>
        </is>
      </c>
    </row>
    <row r="8" ht="44" customHeight="1">
      <c r="A8" s="26" t="inlineStr">
        <is>
          <t>Datas</t>
        </is>
      </c>
      <c r="B8" s="27" t="inlineStr">
        <is>
          <t>Registre data de emissão, data de vencimento e data de pagamento no padrão DD/MM/AAAA. Deixe a data de pagamento em branco enquanto a liquidação não ocorrer.</t>
        </is>
      </c>
    </row>
    <row r="9" ht="44" customHeight="1">
      <c r="A9" s="26" t="inlineStr">
        <is>
          <t>Status automático</t>
        </is>
      </c>
      <c r="B9" s="28" t="inlineStr">
        <is>
          <t>Pago: valor pago maior ou igual ao previsto. Em atraso: conta ainda não liquidada e vencimento anterior à data atual. Em aberto: conta ainda não liquidada e com vencimento atual ou futuro.</t>
        </is>
      </c>
    </row>
    <row r="10" ht="44" customHeight="1">
      <c r="A10" s="26" t="inlineStr">
        <is>
          <t>Atualização de pagamentos</t>
        </is>
      </c>
      <c r="B10" s="27" t="inlineStr">
        <is>
          <t>Ao realizar um pagamento ou receber um valor, atualize Valor pago e Data de pagamento. Revise também pagamentos parciais para manter o percentual pago correto.</t>
        </is>
      </c>
    </row>
    <row r="11" ht="44" customHeight="1">
      <c r="A11" s="26" t="inlineStr">
        <is>
          <t>Revisão de atrasos</t>
        </is>
      </c>
      <c r="B11" s="28" t="inlineStr">
        <is>
          <t>Priorize as linhas classificadas como Em atraso. Use Dias em atraso, valor previsto, cliente/fornecedor e observações para orientar cobrança, negociação ou regularização.</t>
        </is>
      </c>
    </row>
    <row r="12" ht="44" customHeight="1">
      <c r="A12" s="26" t="inlineStr">
        <is>
          <t>Orçamento por categoria</t>
        </is>
      </c>
      <c r="B12" s="27" t="inlineStr">
        <is>
          <t>O orçamento é consultado automaticamente na aba Resumo. Ajuste os valores da tabela auxiliar de categorias quando houver atualização do planejamento financeiro.</t>
        </is>
      </c>
    </row>
    <row r="13" ht="44" customHeight="1">
      <c r="A13" s="26" t="inlineStr">
        <is>
          <t>LGPD e compartilhamento</t>
        </is>
      </c>
      <c r="B13" s="28" t="inlineStr">
        <is>
          <t>Evite registrar dados pessoais desnecessários. Restrinja o compartilhamento do arquivo a pessoas autorizadas e adote controles internos para acesso, armazenamento e descarte seguro.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2026-09-08T20:32:06Z</dcterms:created>
  <dcterms:modified xmlns:dcterms="http://purl.org/dc/terms/" xmlns:xsi="http://www.w3.org/2001/XMLSchema-instance" xsi:type="dcterms:W3CDTF">2026-09-08T20:32:06Z</dcterms:modified>
</cp:coreProperties>
</file>