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Auxiliar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'Lançamentos'!$A$1:$O$101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.0%"/>
    <numFmt numFmtId="167" formatCode="dd/mm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11827"/>
      <sz val="10"/>
    </font>
    <font>
      <name val="Aptos"/>
      <i val="1"/>
      <color rgb="004B5563"/>
      <sz val="9"/>
    </font>
  </fonts>
  <fills count="7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6B6D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color rgb="00111827"/>
        <sz val="10"/>
      </font>
      <fill>
        <patternFill patternType="solid">
          <fgColor rgb="00FEF3C7"/>
        </patternFill>
      </fill>
    </dxf>
    <dxf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'Resumo'!E2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'Resumo'!$D$3:$D$5</f>
            </numRef>
          </cat>
          <val>
            <numRef>
              <f>'Resumo'!$E$3:$E$5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Créditos versus débitos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'Resumo'!E15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'Resumo'!$D$16:$D$27</f>
            </numRef>
          </cat>
          <val>
            <numRef>
              <f>'Resumo'!$E$16:$E$27</f>
            </numRef>
          </val>
        </ser>
        <ser>
          <idx val="1"/>
          <order val="1"/>
          <tx>
            <strRef>
              <f>'Resumo'!F15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'Resumo'!$D$16:$D$27</f>
            </numRef>
          </cat>
          <val>
            <numRef>
              <f>'Resumo'!$F$16:$F$27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Mês/Ano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Valores internos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'Resumo'!B15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'Resumo'!$A$16:$A$22</f>
            </numRef>
          </cat>
          <val>
            <numRef>
              <f>'Resumo'!$B$16:$B$22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34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6B6D4"/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28" customWidth="1" min="4" max="4"/>
    <col width="22" customWidth="1" min="5" max="5"/>
    <col width="17" customWidth="1" min="6" max="6"/>
    <col width="26" customWidth="1" min="7" max="7"/>
    <col width="28" customWidth="1" min="8" max="8"/>
    <col width="18" customWidth="1" min="9" max="9"/>
    <col width="15" customWidth="1" min="10" max="10"/>
    <col width="20" customWidth="1" min="11" max="11"/>
    <col width="17" customWidth="1" min="12" max="12"/>
    <col width="22" customWidth="1" min="13" max="13"/>
    <col width="42" customWidth="1" min="14" max="14"/>
    <col width="12" customWidth="1" min="15" max="15"/>
  </cols>
  <sheetData>
    <row r="1" ht="32" customHeight="1">
      <c r="A1" s="1" t="inlineStr">
        <is>
          <t>ID</t>
        </is>
      </c>
      <c r="B1" s="1" t="inlineStr">
        <is>
          <t>Data</t>
        </is>
      </c>
      <c r="C1" s="1" t="inlineStr">
        <is>
          <t>Tipo</t>
        </is>
      </c>
      <c r="D1" s="1" t="inlineStr">
        <is>
          <t>Descrição</t>
        </is>
      </c>
      <c r="E1" s="1" t="inlineStr">
        <is>
          <t>Categoria</t>
        </is>
      </c>
      <c r="F1" s="1" t="inlineStr">
        <is>
          <t>Documento/NF-e</t>
        </is>
      </c>
      <c r="G1" s="1" t="inlineStr">
        <is>
          <t>Cliente/Fornecedor</t>
        </is>
      </c>
      <c r="H1" s="1" t="inlineStr">
        <is>
          <t>Conta bancária</t>
        </is>
      </c>
      <c r="I1" s="1" t="inlineStr">
        <is>
          <t>Valor interno (R$)</t>
        </is>
      </c>
      <c r="J1" s="1" t="inlineStr">
        <is>
          <t>Data do extrato</t>
        </is>
      </c>
      <c r="K1" s="1" t="inlineStr">
        <is>
          <t>Valor do extrato (R$)</t>
        </is>
      </c>
      <c r="L1" s="1" t="inlineStr">
        <is>
          <t>Diferença (R$)</t>
        </is>
      </c>
      <c r="M1" s="1" t="inlineStr">
        <is>
          <t>Status da conciliação</t>
        </is>
      </c>
      <c r="N1" s="1" t="inlineStr">
        <is>
          <t>Observação</t>
        </is>
      </c>
      <c r="O1" s="1" t="inlineStr">
        <is>
          <t>Mês/Ano</t>
        </is>
      </c>
    </row>
    <row r="2" ht="22" customHeight="1">
      <c r="A2" s="2" t="inlineStr">
        <is>
          <t>LC-2026-001</t>
        </is>
      </c>
      <c r="B2" s="30" t="n">
        <v>46267</v>
      </c>
      <c r="C2" s="2" t="inlineStr">
        <is>
          <t>Crédito</t>
        </is>
      </c>
      <c r="D2" s="4" t="inlineStr">
        <is>
          <t>Recebimento de cliente</t>
        </is>
      </c>
      <c r="E2" s="5">
        <f>IF(D2="","",IFERROR(VLOOKUP(D2,'Auxiliar'!$A$2:$B$9,2,FALSE),"Não classificado"))</f>
        <v/>
      </c>
      <c r="F2" s="2" t="inlineStr">
        <is>
          <t>NFS-e 9821</t>
        </is>
      </c>
      <c r="G2" s="4" t="inlineStr">
        <is>
          <t>João Silva - São Paulo</t>
        </is>
      </c>
      <c r="H2" s="4" t="inlineStr">
        <is>
          <t>Conta Corrente - Banco Alfa</t>
        </is>
      </c>
      <c r="I2" s="26" t="n">
        <v>18500</v>
      </c>
      <c r="J2" s="30" t="n">
        <v>46267</v>
      </c>
      <c r="K2" s="26" t="n">
        <v>18500</v>
      </c>
      <c r="L2" s="27">
        <f>IF(A2="","",IFERROR(K2-I2,0))</f>
        <v/>
      </c>
      <c r="M2" s="8">
        <f>IF(A2="","",IF(K2="","Pendente",IF(ABS(L2)&lt;=0.01,"Conciliado","Divergente")))</f>
        <v/>
      </c>
      <c r="N2" s="4" t="inlineStr">
        <is>
          <t>Recebimento por NF-e confirmado no extrato.</t>
        </is>
      </c>
      <c r="O2" s="8">
        <f>IF(B2="","",TEXT(B2,"mm/aaaa"))</f>
        <v/>
      </c>
    </row>
    <row r="3" ht="22" customHeight="1">
      <c r="A3" s="2" t="inlineStr">
        <is>
          <t>LC-2026-002</t>
        </is>
      </c>
      <c r="B3" s="30" t="n">
        <v>46267</v>
      </c>
      <c r="C3" s="2" t="inlineStr">
        <is>
          <t>Débito</t>
        </is>
      </c>
      <c r="D3" s="4" t="inlineStr">
        <is>
          <t>Pagamento de fornecedor</t>
        </is>
      </c>
      <c r="E3" s="9">
        <f>IF(D3="","",IFERROR(VLOOKUP(D3,'Auxiliar'!$A$2:$B$9,2,FALSE),"Não classificado"))</f>
        <v/>
      </c>
      <c r="F3" s="2" t="inlineStr">
        <is>
          <t>NF 4765</t>
        </is>
      </c>
      <c r="G3" s="4" t="inlineStr">
        <is>
          <t>Maria Oliveira - Curitiba</t>
        </is>
      </c>
      <c r="H3" s="4" t="inlineStr">
        <is>
          <t>Conta Corrente - Banco Alfa</t>
        </is>
      </c>
      <c r="I3" s="26" t="n">
        <v>7350</v>
      </c>
      <c r="J3" s="30" t="n">
        <v>46267</v>
      </c>
      <c r="K3" s="26" t="n">
        <v>7350</v>
      </c>
      <c r="L3" s="28">
        <f>IF(A3="","",IFERROR(K3-I3,0))</f>
        <v/>
      </c>
      <c r="M3" s="11">
        <f>IF(A3="","",IF(K3="","Pendente",IF(ABS(L3)&lt;=0.01,"Conciliado","Divergente")))</f>
        <v/>
      </c>
      <c r="N3" s="4" t="inlineStr">
        <is>
          <t>Pagamento de materiais homologado.</t>
        </is>
      </c>
      <c r="O3" s="11">
        <f>IF(B3="","",TEXT(B3,"mm/aaaa"))</f>
        <v/>
      </c>
    </row>
    <row r="4" ht="22" customHeight="1">
      <c r="A4" s="2" t="inlineStr">
        <is>
          <t>LC-2026-003</t>
        </is>
      </c>
      <c r="B4" s="30" t="n">
        <v>46268</v>
      </c>
      <c r="C4" s="2" t="inlineStr">
        <is>
          <t>Débito</t>
        </is>
      </c>
      <c r="D4" s="4" t="inlineStr">
        <is>
          <t>Tarifa bancária</t>
        </is>
      </c>
      <c r="E4" s="5">
        <f>IF(D4="","",IFERROR(VLOOKUP(D4,'Auxiliar'!$A$2:$B$9,2,FALSE),"Não classificado"))</f>
        <v/>
      </c>
      <c r="F4" s="2" t="inlineStr">
        <is>
          <t>TAR-0903</t>
        </is>
      </c>
      <c r="G4" s="4" t="inlineStr">
        <is>
          <t>Banco Alfa - São Paulo</t>
        </is>
      </c>
      <c r="H4" s="4" t="inlineStr">
        <is>
          <t>Conta Corrente - Banco Alfa</t>
        </is>
      </c>
      <c r="I4" s="26" t="n">
        <v>85</v>
      </c>
      <c r="J4" s="30" t="n">
        <v>46268</v>
      </c>
      <c r="K4" s="26" t="n">
        <v>85</v>
      </c>
      <c r="L4" s="27">
        <f>IF(A4="","",IFERROR(K4-I4,0))</f>
        <v/>
      </c>
      <c r="M4" s="8">
        <f>IF(A4="","",IF(K4="","Pendente",IF(ABS(L4)&lt;=0.01,"Conciliado","Divergente")))</f>
        <v/>
      </c>
      <c r="N4" s="4" t="inlineStr">
        <is>
          <t>Tarifa mensal de manutenção.</t>
        </is>
      </c>
      <c r="O4" s="8">
        <f>IF(B4="","",TEXT(B4,"mm/aaaa"))</f>
        <v/>
      </c>
    </row>
    <row r="5" ht="22" customHeight="1">
      <c r="A5" s="2" t="inlineStr">
        <is>
          <t>LC-2026-004</t>
        </is>
      </c>
      <c r="B5" s="30" t="n">
        <v>46268</v>
      </c>
      <c r="C5" s="2" t="inlineStr">
        <is>
          <t>Débito</t>
        </is>
      </c>
      <c r="D5" s="4" t="inlineStr">
        <is>
          <t>DAS/Simples Nacional</t>
        </is>
      </c>
      <c r="E5" s="9">
        <f>IF(D5="","",IFERROR(VLOOKUP(D5,'Auxiliar'!$A$2:$B$9,2,FALSE),"Não classificado"))</f>
        <v/>
      </c>
      <c r="F5" s="2" t="inlineStr">
        <is>
          <t>DAS 09/2026</t>
        </is>
      </c>
      <c r="G5" s="4" t="inlineStr">
        <is>
          <t>Receita Federal - Campinas</t>
        </is>
      </c>
      <c r="H5" s="4" t="inlineStr">
        <is>
          <t>Conta Corrente - Banco Alfa</t>
        </is>
      </c>
      <c r="I5" s="26" t="n">
        <v>1240</v>
      </c>
      <c r="J5" s="30" t="n">
        <v>46268</v>
      </c>
      <c r="K5" s="26" t="n">
        <v>1240</v>
      </c>
      <c r="L5" s="28">
        <f>IF(A5="","",IFERROR(K5-I5,0))</f>
        <v/>
      </c>
      <c r="M5" s="11">
        <f>IF(A5="","",IF(K5="","Pendente",IF(ABS(L5)&lt;=0.01,"Conciliado","Divergente")))</f>
        <v/>
      </c>
      <c r="N5" s="4" t="inlineStr">
        <is>
          <t>Tributo mensal quitado.</t>
        </is>
      </c>
      <c r="O5" s="11">
        <f>IF(B5="","",TEXT(B5,"mm/aaaa"))</f>
        <v/>
      </c>
    </row>
    <row r="6" ht="22" customHeight="1">
      <c r="A6" s="2" t="inlineStr">
        <is>
          <t>LC-2026-005</t>
        </is>
      </c>
      <c r="B6" s="30" t="n">
        <v>46269</v>
      </c>
      <c r="C6" s="2" t="inlineStr">
        <is>
          <t>Débito</t>
        </is>
      </c>
      <c r="D6" s="4" t="inlineStr">
        <is>
          <t>Transferência entre contas</t>
        </is>
      </c>
      <c r="E6" s="5">
        <f>IF(D6="","",IFERROR(VLOOKUP(D6,'Auxiliar'!$A$2:$B$9,2,FALSE),"Não classificado"))</f>
        <v/>
      </c>
      <c r="F6" s="2" t="inlineStr">
        <is>
          <t>TED 20458</t>
        </is>
      </c>
      <c r="G6" s="4" t="inlineStr">
        <is>
          <t>Carlos Pereira - Campinas</t>
        </is>
      </c>
      <c r="H6" s="4" t="inlineStr">
        <is>
          <t>Conta Corrente - Banco Alfa</t>
        </is>
      </c>
      <c r="I6" s="26" t="n">
        <v>10200</v>
      </c>
      <c r="J6" s="30" t="n">
        <v>46269</v>
      </c>
      <c r="K6" s="26" t="n">
        <v>10200</v>
      </c>
      <c r="L6" s="27">
        <f>IF(A6="","",IFERROR(K6-I6,0))</f>
        <v/>
      </c>
      <c r="M6" s="8">
        <f>IF(A6="","",IF(K6="","Pendente",IF(ABS(L6)&lt;=0.01,"Conciliado","Divergente")))</f>
        <v/>
      </c>
      <c r="N6" s="4" t="inlineStr">
        <is>
          <t>Transferência para conta de aplicação.</t>
        </is>
      </c>
      <c r="O6" s="8">
        <f>IF(B6="","",TEXT(B6,"mm/aaaa"))</f>
        <v/>
      </c>
    </row>
    <row r="7" ht="22" customHeight="1">
      <c r="A7" s="2" t="inlineStr">
        <is>
          <t>LC-2026-006</t>
        </is>
      </c>
      <c r="B7" s="30" t="n">
        <v>46269</v>
      </c>
      <c r="C7" s="2" t="inlineStr">
        <is>
          <t>Débito</t>
        </is>
      </c>
      <c r="D7" s="4" t="inlineStr">
        <is>
          <t>INSS/FGTS</t>
        </is>
      </c>
      <c r="E7" s="9">
        <f>IF(D7="","",IFERROR(VLOOKUP(D7,'Auxiliar'!$A$2:$B$9,2,FALSE),"Não classificado"))</f>
        <v/>
      </c>
      <c r="F7" s="2" t="inlineStr">
        <is>
          <t>GPS 09/2026</t>
        </is>
      </c>
      <c r="G7" s="4" t="inlineStr">
        <is>
          <t>Pedro Santos - Belo Horizonte</t>
        </is>
      </c>
      <c r="H7" s="4" t="inlineStr">
        <is>
          <t>Conta Corrente - Banco Alfa</t>
        </is>
      </c>
      <c r="I7" s="26" t="n">
        <v>4900</v>
      </c>
      <c r="J7" s="30" t="n">
        <v>46269</v>
      </c>
      <c r="K7" s="26" t="n">
        <v>4899</v>
      </c>
      <c r="L7" s="28">
        <f>IF(A7="","",IFERROR(K7-I7,0))</f>
        <v/>
      </c>
      <c r="M7" s="11">
        <f>IF(A7="","",IF(K7="","Pendente",IF(ABS(L7)&lt;=0.01,"Conciliado","Divergente")))</f>
        <v/>
      </c>
      <c r="N7" s="4" t="inlineStr">
        <is>
          <t>Diferença a validar com o comprovante de pagamento.</t>
        </is>
      </c>
      <c r="O7" s="11">
        <f>IF(B7="","",TEXT(B7,"mm/aaaa"))</f>
        <v/>
      </c>
    </row>
    <row r="8" ht="22" customHeight="1">
      <c r="A8" s="2" t="inlineStr">
        <is>
          <t>LC-2026-007</t>
        </is>
      </c>
      <c r="B8" s="30" t="n">
        <v>46270</v>
      </c>
      <c r="C8" s="2" t="inlineStr">
        <is>
          <t>Crédito</t>
        </is>
      </c>
      <c r="D8" s="4" t="inlineStr">
        <is>
          <t>Recebimento de cliente</t>
        </is>
      </c>
      <c r="E8" s="5">
        <f>IF(D8="","",IFERROR(VLOOKUP(D8,'Auxiliar'!$A$2:$B$9,2,FALSE),"Não classificado"))</f>
        <v/>
      </c>
      <c r="F8" s="2" t="inlineStr">
        <is>
          <t>PIX 551893</t>
        </is>
      </c>
      <c r="G8" s="4" t="inlineStr">
        <is>
          <t>Ana Souza - Rio de Janeiro</t>
        </is>
      </c>
      <c r="H8" s="4" t="inlineStr">
        <is>
          <t>Conta Movimento - Banco Beta</t>
        </is>
      </c>
      <c r="I8" s="26" t="n">
        <v>6780</v>
      </c>
      <c r="J8" s="30" t="n">
        <v>46270</v>
      </c>
      <c r="K8" s="26" t="n">
        <v>6780</v>
      </c>
      <c r="L8" s="27">
        <f>IF(A8="","",IFERROR(K8-I8,0))</f>
        <v/>
      </c>
      <c r="M8" s="8">
        <f>IF(A8="","",IF(K8="","Pendente",IF(ABS(L8)&lt;=0.01,"Conciliado","Divergente")))</f>
        <v/>
      </c>
      <c r="N8" s="4" t="inlineStr">
        <is>
          <t>PIX recebido e identificado.</t>
        </is>
      </c>
      <c r="O8" s="8">
        <f>IF(B8="","",TEXT(B8,"mm/aaaa"))</f>
        <v/>
      </c>
    </row>
    <row r="9" ht="22" customHeight="1">
      <c r="A9" s="2" t="inlineStr">
        <is>
          <t>LC-2026-008</t>
        </is>
      </c>
      <c r="B9" s="30" t="n">
        <v>46271</v>
      </c>
      <c r="C9" s="2" t="inlineStr">
        <is>
          <t>Débito</t>
        </is>
      </c>
      <c r="D9" s="4" t="inlineStr">
        <is>
          <t>Pagamento de fornecedor</t>
        </is>
      </c>
      <c r="E9" s="9">
        <f>IF(D9="","",IFERROR(VLOOKUP(D9,'Auxiliar'!$A$2:$B$9,2,FALSE),"Não classificado"))</f>
        <v/>
      </c>
      <c r="F9" s="2" t="inlineStr">
        <is>
          <t>NF 5810</t>
        </is>
      </c>
      <c r="G9" s="4" t="inlineStr">
        <is>
          <t>Pedro Santos - Belo Horizonte</t>
        </is>
      </c>
      <c r="H9" s="4" t="inlineStr">
        <is>
          <t>Conta Corrente - Banco Alfa</t>
        </is>
      </c>
      <c r="I9" s="26" t="n">
        <v>3200</v>
      </c>
      <c r="J9" s="30" t="n"/>
      <c r="K9" s="26" t="n"/>
      <c r="L9" s="28">
        <f>IF(A9="","",IFERROR(K9-I9,0))</f>
        <v/>
      </c>
      <c r="M9" s="11">
        <f>IF(A9="","",IF(K9="","Pendente",IF(ABS(L9)&lt;=0.01,"Conciliado","Divergente")))</f>
        <v/>
      </c>
      <c r="N9" s="4" t="inlineStr">
        <is>
          <t>Aguardando localização da movimentação no extrato.</t>
        </is>
      </c>
      <c r="O9" s="11">
        <f>IF(B9="","",TEXT(B9,"mm/aaaa"))</f>
        <v/>
      </c>
    </row>
    <row r="10" ht="22" customHeight="1">
      <c r="A10" s="2" t="inlineStr">
        <is>
          <t>LC-2026-009</t>
        </is>
      </c>
      <c r="B10" s="30" t="n">
        <v>46272</v>
      </c>
      <c r="C10" s="2" t="inlineStr">
        <is>
          <t>Débito</t>
        </is>
      </c>
      <c r="D10" s="4" t="inlineStr">
        <is>
          <t>ISS/ICMS</t>
        </is>
      </c>
      <c r="E10" s="5">
        <f>IF(D10="","",IFERROR(VLOOKUP(D10,'Auxiliar'!$A$2:$B$9,2,FALSE),"Não classificado"))</f>
        <v/>
      </c>
      <c r="F10" s="2" t="inlineStr">
        <is>
          <t>GARE 09/2026</t>
        </is>
      </c>
      <c r="G10" s="4" t="inlineStr">
        <is>
          <t>Prefeitura de São Paulo</t>
        </is>
      </c>
      <c r="H10" s="4" t="inlineStr">
        <is>
          <t>Conta Movimento - Banco Beta</t>
        </is>
      </c>
      <c r="I10" s="26" t="n">
        <v>920</v>
      </c>
      <c r="J10" s="30" t="n">
        <v>46272</v>
      </c>
      <c r="K10" s="26" t="n">
        <v>920</v>
      </c>
      <c r="L10" s="27">
        <f>IF(A10="","",IFERROR(K10-I10,0))</f>
        <v/>
      </c>
      <c r="M10" s="8">
        <f>IF(A10="","",IF(K10="","Pendente",IF(ABS(L10)&lt;=0.01,"Conciliado","Divergente")))</f>
        <v/>
      </c>
      <c r="N10" s="4" t="inlineStr">
        <is>
          <t>Guia tributária conciliada.</t>
        </is>
      </c>
      <c r="O10" s="8">
        <f>IF(B10="","",TEXT(B10,"mm/aaaa"))</f>
        <v/>
      </c>
    </row>
    <row r="11" ht="22" customHeight="1">
      <c r="A11" s="2" t="inlineStr">
        <is>
          <t>LC-2026-010</t>
        </is>
      </c>
      <c r="B11" s="30" t="n">
        <v>46273</v>
      </c>
      <c r="C11" s="2" t="inlineStr">
        <is>
          <t>Crédito</t>
        </is>
      </c>
      <c r="D11" s="4" t="inlineStr">
        <is>
          <t>Recebimento de cliente</t>
        </is>
      </c>
      <c r="E11" s="9">
        <f>IF(D11="","",IFERROR(VLOOKUP(D11,'Auxiliar'!$A$2:$B$9,2,FALSE),"Não classificado"))</f>
        <v/>
      </c>
      <c r="F11" s="2" t="inlineStr">
        <is>
          <t>NFS-e 9894</t>
        </is>
      </c>
      <c r="G11" s="4" t="inlineStr">
        <is>
          <t>Carlos Pereira - Curitiba</t>
        </is>
      </c>
      <c r="H11" s="4" t="inlineStr">
        <is>
          <t>Conta Movimento - Banco Beta</t>
        </is>
      </c>
      <c r="I11" s="26" t="n">
        <v>2650</v>
      </c>
      <c r="J11" s="30" t="n">
        <v>46273</v>
      </c>
      <c r="K11" s="26" t="n">
        <v>2650</v>
      </c>
      <c r="L11" s="28">
        <f>IF(A11="","",IFERROR(K11-I11,0))</f>
        <v/>
      </c>
      <c r="M11" s="11">
        <f>IF(A11="","",IF(K11="","Pendente",IF(ABS(L11)&lt;=0.01,"Conciliado","Divergente")))</f>
        <v/>
      </c>
      <c r="N11" s="4" t="inlineStr">
        <is>
          <t>Recebimento de serviço confirmado.</t>
        </is>
      </c>
      <c r="O11" s="11">
        <f>IF(B11="","",TEXT(B11,"mm/aaaa"))</f>
        <v/>
      </c>
    </row>
    <row r="12" ht="22" customHeight="1">
      <c r="A12" s="2" t="n"/>
      <c r="B12" s="30" t="n"/>
      <c r="C12" s="2" t="n"/>
      <c r="D12" s="4" t="n"/>
      <c r="E12" s="5">
        <f>IF(D12="","",IFERROR(VLOOKUP(D12,'Auxiliar'!$A$2:$B$9,2,FALSE),"Não classificado"))</f>
        <v/>
      </c>
      <c r="F12" s="2" t="n"/>
      <c r="G12" s="4" t="n"/>
      <c r="H12" s="4" t="n"/>
      <c r="I12" s="26" t="n"/>
      <c r="J12" s="30" t="n"/>
      <c r="K12" s="26" t="n"/>
      <c r="L12" s="27">
        <f>IF(A12="","",IFERROR(K12-I12,0))</f>
        <v/>
      </c>
      <c r="M12" s="8">
        <f>IF(A12="","",IF(K12="","Pendente",IF(ABS(L12)&lt;=0.01,"Conciliado","Divergente")))</f>
        <v/>
      </c>
      <c r="N12" s="4" t="n"/>
      <c r="O12" s="8">
        <f>IF(B12="","",TEXT(B12,"mm/aaaa"))</f>
        <v/>
      </c>
    </row>
    <row r="13" ht="22" customHeight="1">
      <c r="A13" s="2" t="n"/>
      <c r="B13" s="30" t="n"/>
      <c r="C13" s="2" t="n"/>
      <c r="D13" s="4" t="n"/>
      <c r="E13" s="9">
        <f>IF(D13="","",IFERROR(VLOOKUP(D13,'Auxiliar'!$A$2:$B$9,2,FALSE),"Não classificado"))</f>
        <v/>
      </c>
      <c r="F13" s="2" t="n"/>
      <c r="G13" s="4" t="n"/>
      <c r="H13" s="4" t="n"/>
      <c r="I13" s="26" t="n"/>
      <c r="J13" s="30" t="n"/>
      <c r="K13" s="26" t="n"/>
      <c r="L13" s="28">
        <f>IF(A13="","",IFERROR(K13-I13,0))</f>
        <v/>
      </c>
      <c r="M13" s="11">
        <f>IF(A13="","",IF(K13="","Pendente",IF(ABS(L13)&lt;=0.01,"Conciliado","Divergente")))</f>
        <v/>
      </c>
      <c r="N13" s="4" t="n"/>
      <c r="O13" s="11">
        <f>IF(B13="","",TEXT(B13,"mm/aaaa"))</f>
        <v/>
      </c>
    </row>
    <row r="14" ht="22" customHeight="1">
      <c r="A14" s="2" t="n"/>
      <c r="B14" s="30" t="n"/>
      <c r="C14" s="2" t="n"/>
      <c r="D14" s="4" t="n"/>
      <c r="E14" s="5">
        <f>IF(D14="","",IFERROR(VLOOKUP(D14,'Auxiliar'!$A$2:$B$9,2,FALSE),"Não classificado"))</f>
        <v/>
      </c>
      <c r="F14" s="2" t="n"/>
      <c r="G14" s="4" t="n"/>
      <c r="H14" s="4" t="n"/>
      <c r="I14" s="26" t="n"/>
      <c r="J14" s="30" t="n"/>
      <c r="K14" s="26" t="n"/>
      <c r="L14" s="27">
        <f>IF(A14="","",IFERROR(K14-I14,0))</f>
        <v/>
      </c>
      <c r="M14" s="8">
        <f>IF(A14="","",IF(K14="","Pendente",IF(ABS(L14)&lt;=0.01,"Conciliado","Divergente")))</f>
        <v/>
      </c>
      <c r="N14" s="4" t="n"/>
      <c r="O14" s="8">
        <f>IF(B14="","",TEXT(B14,"mm/aaaa"))</f>
        <v/>
      </c>
    </row>
    <row r="15" ht="22" customHeight="1">
      <c r="A15" s="2" t="n"/>
      <c r="B15" s="30" t="n"/>
      <c r="C15" s="2" t="n"/>
      <c r="D15" s="4" t="n"/>
      <c r="E15" s="9">
        <f>IF(D15="","",IFERROR(VLOOKUP(D15,'Auxiliar'!$A$2:$B$9,2,FALSE),"Não classificado"))</f>
        <v/>
      </c>
      <c r="F15" s="2" t="n"/>
      <c r="G15" s="4" t="n"/>
      <c r="H15" s="4" t="n"/>
      <c r="I15" s="26" t="n"/>
      <c r="J15" s="30" t="n"/>
      <c r="K15" s="26" t="n"/>
      <c r="L15" s="28">
        <f>IF(A15="","",IFERROR(K15-I15,0))</f>
        <v/>
      </c>
      <c r="M15" s="11">
        <f>IF(A15="","",IF(K15="","Pendente",IF(ABS(L15)&lt;=0.01,"Conciliado","Divergente")))</f>
        <v/>
      </c>
      <c r="N15" s="4" t="n"/>
      <c r="O15" s="11">
        <f>IF(B15="","",TEXT(B15,"mm/aaaa"))</f>
        <v/>
      </c>
    </row>
    <row r="16" ht="22" customHeight="1">
      <c r="A16" s="2" t="n"/>
      <c r="B16" s="30" t="n"/>
      <c r="C16" s="2" t="n"/>
      <c r="D16" s="4" t="n"/>
      <c r="E16" s="5">
        <f>IF(D16="","",IFERROR(VLOOKUP(D16,'Auxiliar'!$A$2:$B$9,2,FALSE),"Não classificado"))</f>
        <v/>
      </c>
      <c r="F16" s="2" t="n"/>
      <c r="G16" s="4" t="n"/>
      <c r="H16" s="4" t="n"/>
      <c r="I16" s="26" t="n"/>
      <c r="J16" s="30" t="n"/>
      <c r="K16" s="26" t="n"/>
      <c r="L16" s="27">
        <f>IF(A16="","",IFERROR(K16-I16,0))</f>
        <v/>
      </c>
      <c r="M16" s="8">
        <f>IF(A16="","",IF(K16="","Pendente",IF(ABS(L16)&lt;=0.01,"Conciliado","Divergente")))</f>
        <v/>
      </c>
      <c r="N16" s="4" t="n"/>
      <c r="O16" s="8">
        <f>IF(B16="","",TEXT(B16,"mm/aaaa"))</f>
        <v/>
      </c>
    </row>
    <row r="17" ht="22" customHeight="1">
      <c r="A17" s="2" t="n"/>
      <c r="B17" s="30" t="n"/>
      <c r="C17" s="2" t="n"/>
      <c r="D17" s="4" t="n"/>
      <c r="E17" s="9">
        <f>IF(D17="","",IFERROR(VLOOKUP(D17,'Auxiliar'!$A$2:$B$9,2,FALSE),"Não classificado"))</f>
        <v/>
      </c>
      <c r="F17" s="2" t="n"/>
      <c r="G17" s="4" t="n"/>
      <c r="H17" s="4" t="n"/>
      <c r="I17" s="26" t="n"/>
      <c r="J17" s="30" t="n"/>
      <c r="K17" s="26" t="n"/>
      <c r="L17" s="28">
        <f>IF(A17="","",IFERROR(K17-I17,0))</f>
        <v/>
      </c>
      <c r="M17" s="11">
        <f>IF(A17="","",IF(K17="","Pendente",IF(ABS(L17)&lt;=0.01,"Conciliado","Divergente")))</f>
        <v/>
      </c>
      <c r="N17" s="4" t="n"/>
      <c r="O17" s="11">
        <f>IF(B17="","",TEXT(B17,"mm/aaaa"))</f>
        <v/>
      </c>
    </row>
    <row r="18" ht="22" customHeight="1">
      <c r="A18" s="2" t="n"/>
      <c r="B18" s="30" t="n"/>
      <c r="C18" s="2" t="n"/>
      <c r="D18" s="4" t="n"/>
      <c r="E18" s="5">
        <f>IF(D18="","",IFERROR(VLOOKUP(D18,'Auxiliar'!$A$2:$B$9,2,FALSE),"Não classificado"))</f>
        <v/>
      </c>
      <c r="F18" s="2" t="n"/>
      <c r="G18" s="4" t="n"/>
      <c r="H18" s="4" t="n"/>
      <c r="I18" s="26" t="n"/>
      <c r="J18" s="30" t="n"/>
      <c r="K18" s="26" t="n"/>
      <c r="L18" s="27">
        <f>IF(A18="","",IFERROR(K18-I18,0))</f>
        <v/>
      </c>
      <c r="M18" s="8">
        <f>IF(A18="","",IF(K18="","Pendente",IF(ABS(L18)&lt;=0.01,"Conciliado","Divergente")))</f>
        <v/>
      </c>
      <c r="N18" s="4" t="n"/>
      <c r="O18" s="8">
        <f>IF(B18="","",TEXT(B18,"mm/aaaa"))</f>
        <v/>
      </c>
    </row>
    <row r="19" ht="22" customHeight="1">
      <c r="A19" s="2" t="n"/>
      <c r="B19" s="30" t="n"/>
      <c r="C19" s="2" t="n"/>
      <c r="D19" s="4" t="n"/>
      <c r="E19" s="9">
        <f>IF(D19="","",IFERROR(VLOOKUP(D19,'Auxiliar'!$A$2:$B$9,2,FALSE),"Não classificado"))</f>
        <v/>
      </c>
      <c r="F19" s="2" t="n"/>
      <c r="G19" s="4" t="n"/>
      <c r="H19" s="4" t="n"/>
      <c r="I19" s="26" t="n"/>
      <c r="J19" s="30" t="n"/>
      <c r="K19" s="26" t="n"/>
      <c r="L19" s="28">
        <f>IF(A19="","",IFERROR(K19-I19,0))</f>
        <v/>
      </c>
      <c r="M19" s="11">
        <f>IF(A19="","",IF(K19="","Pendente",IF(ABS(L19)&lt;=0.01,"Conciliado","Divergente")))</f>
        <v/>
      </c>
      <c r="N19" s="4" t="n"/>
      <c r="O19" s="11">
        <f>IF(B19="","",TEXT(B19,"mm/aaaa"))</f>
        <v/>
      </c>
    </row>
    <row r="20" ht="22" customHeight="1">
      <c r="A20" s="2" t="n"/>
      <c r="B20" s="30" t="n"/>
      <c r="C20" s="2" t="n"/>
      <c r="D20" s="4" t="n"/>
      <c r="E20" s="5">
        <f>IF(D20="","",IFERROR(VLOOKUP(D20,'Auxiliar'!$A$2:$B$9,2,FALSE),"Não classificado"))</f>
        <v/>
      </c>
      <c r="F20" s="2" t="n"/>
      <c r="G20" s="4" t="n"/>
      <c r="H20" s="4" t="n"/>
      <c r="I20" s="26" t="n"/>
      <c r="J20" s="30" t="n"/>
      <c r="K20" s="26" t="n"/>
      <c r="L20" s="27">
        <f>IF(A20="","",IFERROR(K20-I20,0))</f>
        <v/>
      </c>
      <c r="M20" s="8">
        <f>IF(A20="","",IF(K20="","Pendente",IF(ABS(L20)&lt;=0.01,"Conciliado","Divergente")))</f>
        <v/>
      </c>
      <c r="N20" s="4" t="n"/>
      <c r="O20" s="8">
        <f>IF(B20="","",TEXT(B20,"mm/aaaa"))</f>
        <v/>
      </c>
    </row>
    <row r="21" ht="22" customHeight="1">
      <c r="A21" s="2" t="n"/>
      <c r="B21" s="30" t="n"/>
      <c r="C21" s="2" t="n"/>
      <c r="D21" s="4" t="n"/>
      <c r="E21" s="9">
        <f>IF(D21="","",IFERROR(VLOOKUP(D21,'Auxiliar'!$A$2:$B$9,2,FALSE),"Não classificado"))</f>
        <v/>
      </c>
      <c r="F21" s="2" t="n"/>
      <c r="G21" s="4" t="n"/>
      <c r="H21" s="4" t="n"/>
      <c r="I21" s="26" t="n"/>
      <c r="J21" s="30" t="n"/>
      <c r="K21" s="26" t="n"/>
      <c r="L21" s="28">
        <f>IF(A21="","",IFERROR(K21-I21,0))</f>
        <v/>
      </c>
      <c r="M21" s="11">
        <f>IF(A21="","",IF(K21="","Pendente",IF(ABS(L21)&lt;=0.01,"Conciliado","Divergente")))</f>
        <v/>
      </c>
      <c r="N21" s="4" t="n"/>
      <c r="O21" s="11">
        <f>IF(B21="","",TEXT(B21,"mm/aaaa"))</f>
        <v/>
      </c>
    </row>
    <row r="22" ht="22" customHeight="1">
      <c r="A22" s="2" t="n"/>
      <c r="B22" s="30" t="n"/>
      <c r="C22" s="2" t="n"/>
      <c r="D22" s="4" t="n"/>
      <c r="E22" s="5">
        <f>IF(D22="","",IFERROR(VLOOKUP(D22,'Auxiliar'!$A$2:$B$9,2,FALSE),"Não classificado"))</f>
        <v/>
      </c>
      <c r="F22" s="2" t="n"/>
      <c r="G22" s="4" t="n"/>
      <c r="H22" s="4" t="n"/>
      <c r="I22" s="26" t="n"/>
      <c r="J22" s="30" t="n"/>
      <c r="K22" s="26" t="n"/>
      <c r="L22" s="27">
        <f>IF(A22="","",IFERROR(K22-I22,0))</f>
        <v/>
      </c>
      <c r="M22" s="8">
        <f>IF(A22="","",IF(K22="","Pendente",IF(ABS(L22)&lt;=0.01,"Conciliado","Divergente")))</f>
        <v/>
      </c>
      <c r="N22" s="4" t="n"/>
      <c r="O22" s="8">
        <f>IF(B22="","",TEXT(B22,"mm/aaaa"))</f>
        <v/>
      </c>
    </row>
    <row r="23" ht="22" customHeight="1">
      <c r="A23" s="2" t="n"/>
      <c r="B23" s="30" t="n"/>
      <c r="C23" s="2" t="n"/>
      <c r="D23" s="4" t="n"/>
      <c r="E23" s="9">
        <f>IF(D23="","",IFERROR(VLOOKUP(D23,'Auxiliar'!$A$2:$B$9,2,FALSE),"Não classificado"))</f>
        <v/>
      </c>
      <c r="F23" s="2" t="n"/>
      <c r="G23" s="4" t="n"/>
      <c r="H23" s="4" t="n"/>
      <c r="I23" s="26" t="n"/>
      <c r="J23" s="30" t="n"/>
      <c r="K23" s="26" t="n"/>
      <c r="L23" s="28">
        <f>IF(A23="","",IFERROR(K23-I23,0))</f>
        <v/>
      </c>
      <c r="M23" s="11">
        <f>IF(A23="","",IF(K23="","Pendente",IF(ABS(L23)&lt;=0.01,"Conciliado","Divergente")))</f>
        <v/>
      </c>
      <c r="N23" s="4" t="n"/>
      <c r="O23" s="11">
        <f>IF(B23="","",TEXT(B23,"mm/aaaa"))</f>
        <v/>
      </c>
    </row>
    <row r="24" ht="22" customHeight="1">
      <c r="A24" s="2" t="n"/>
      <c r="B24" s="30" t="n"/>
      <c r="C24" s="2" t="n"/>
      <c r="D24" s="4" t="n"/>
      <c r="E24" s="5">
        <f>IF(D24="","",IFERROR(VLOOKUP(D24,'Auxiliar'!$A$2:$B$9,2,FALSE),"Não classificado"))</f>
        <v/>
      </c>
      <c r="F24" s="2" t="n"/>
      <c r="G24" s="4" t="n"/>
      <c r="H24" s="4" t="n"/>
      <c r="I24" s="26" t="n"/>
      <c r="J24" s="30" t="n"/>
      <c r="K24" s="26" t="n"/>
      <c r="L24" s="27">
        <f>IF(A24="","",IFERROR(K24-I24,0))</f>
        <v/>
      </c>
      <c r="M24" s="8">
        <f>IF(A24="","",IF(K24="","Pendente",IF(ABS(L24)&lt;=0.01,"Conciliado","Divergente")))</f>
        <v/>
      </c>
      <c r="N24" s="4" t="n"/>
      <c r="O24" s="8">
        <f>IF(B24="","",TEXT(B24,"mm/aaaa"))</f>
        <v/>
      </c>
    </row>
    <row r="25" ht="22" customHeight="1">
      <c r="A25" s="2" t="n"/>
      <c r="B25" s="30" t="n"/>
      <c r="C25" s="2" t="n"/>
      <c r="D25" s="4" t="n"/>
      <c r="E25" s="9">
        <f>IF(D25="","",IFERROR(VLOOKUP(D25,'Auxiliar'!$A$2:$B$9,2,FALSE),"Não classificado"))</f>
        <v/>
      </c>
      <c r="F25" s="2" t="n"/>
      <c r="G25" s="4" t="n"/>
      <c r="H25" s="4" t="n"/>
      <c r="I25" s="26" t="n"/>
      <c r="J25" s="30" t="n"/>
      <c r="K25" s="26" t="n"/>
      <c r="L25" s="28">
        <f>IF(A25="","",IFERROR(K25-I25,0))</f>
        <v/>
      </c>
      <c r="M25" s="11">
        <f>IF(A25="","",IF(K25="","Pendente",IF(ABS(L25)&lt;=0.01,"Conciliado","Divergente")))</f>
        <v/>
      </c>
      <c r="N25" s="4" t="n"/>
      <c r="O25" s="11">
        <f>IF(B25="","",TEXT(B25,"mm/aaaa"))</f>
        <v/>
      </c>
    </row>
    <row r="26" ht="22" customHeight="1">
      <c r="A26" s="2" t="n"/>
      <c r="B26" s="30" t="n"/>
      <c r="C26" s="2" t="n"/>
      <c r="D26" s="4" t="n"/>
      <c r="E26" s="5">
        <f>IF(D26="","",IFERROR(VLOOKUP(D26,'Auxiliar'!$A$2:$B$9,2,FALSE),"Não classificado"))</f>
        <v/>
      </c>
      <c r="F26" s="2" t="n"/>
      <c r="G26" s="4" t="n"/>
      <c r="H26" s="4" t="n"/>
      <c r="I26" s="26" t="n"/>
      <c r="J26" s="30" t="n"/>
      <c r="K26" s="26" t="n"/>
      <c r="L26" s="27">
        <f>IF(A26="","",IFERROR(K26-I26,0))</f>
        <v/>
      </c>
      <c r="M26" s="8">
        <f>IF(A26="","",IF(K26="","Pendente",IF(ABS(L26)&lt;=0.01,"Conciliado","Divergente")))</f>
        <v/>
      </c>
      <c r="N26" s="4" t="n"/>
      <c r="O26" s="8">
        <f>IF(B26="","",TEXT(B26,"mm/aaaa"))</f>
        <v/>
      </c>
    </row>
    <row r="27" ht="22" customHeight="1">
      <c r="A27" s="2" t="n"/>
      <c r="B27" s="30" t="n"/>
      <c r="C27" s="2" t="n"/>
      <c r="D27" s="4" t="n"/>
      <c r="E27" s="9">
        <f>IF(D27="","",IFERROR(VLOOKUP(D27,'Auxiliar'!$A$2:$B$9,2,FALSE),"Não classificado"))</f>
        <v/>
      </c>
      <c r="F27" s="2" t="n"/>
      <c r="G27" s="4" t="n"/>
      <c r="H27" s="4" t="n"/>
      <c r="I27" s="26" t="n"/>
      <c r="J27" s="30" t="n"/>
      <c r="K27" s="26" t="n"/>
      <c r="L27" s="28">
        <f>IF(A27="","",IFERROR(K27-I27,0))</f>
        <v/>
      </c>
      <c r="M27" s="11">
        <f>IF(A27="","",IF(K27="","Pendente",IF(ABS(L27)&lt;=0.01,"Conciliado","Divergente")))</f>
        <v/>
      </c>
      <c r="N27" s="4" t="n"/>
      <c r="O27" s="11">
        <f>IF(B27="","",TEXT(B27,"mm/aaaa"))</f>
        <v/>
      </c>
    </row>
    <row r="28" ht="22" customHeight="1">
      <c r="A28" s="2" t="n"/>
      <c r="B28" s="30" t="n"/>
      <c r="C28" s="2" t="n"/>
      <c r="D28" s="4" t="n"/>
      <c r="E28" s="5">
        <f>IF(D28="","",IFERROR(VLOOKUP(D28,'Auxiliar'!$A$2:$B$9,2,FALSE),"Não classificado"))</f>
        <v/>
      </c>
      <c r="F28" s="2" t="n"/>
      <c r="G28" s="4" t="n"/>
      <c r="H28" s="4" t="n"/>
      <c r="I28" s="26" t="n"/>
      <c r="J28" s="30" t="n"/>
      <c r="K28" s="26" t="n"/>
      <c r="L28" s="27">
        <f>IF(A28="","",IFERROR(K28-I28,0))</f>
        <v/>
      </c>
      <c r="M28" s="8">
        <f>IF(A28="","",IF(K28="","Pendente",IF(ABS(L28)&lt;=0.01,"Conciliado","Divergente")))</f>
        <v/>
      </c>
      <c r="N28" s="4" t="n"/>
      <c r="O28" s="8">
        <f>IF(B28="","",TEXT(B28,"mm/aaaa"))</f>
        <v/>
      </c>
    </row>
    <row r="29" ht="22" customHeight="1">
      <c r="A29" s="2" t="n"/>
      <c r="B29" s="30" t="n"/>
      <c r="C29" s="2" t="n"/>
      <c r="D29" s="4" t="n"/>
      <c r="E29" s="9">
        <f>IF(D29="","",IFERROR(VLOOKUP(D29,'Auxiliar'!$A$2:$B$9,2,FALSE),"Não classificado"))</f>
        <v/>
      </c>
      <c r="F29" s="2" t="n"/>
      <c r="G29" s="4" t="n"/>
      <c r="H29" s="4" t="n"/>
      <c r="I29" s="26" t="n"/>
      <c r="J29" s="30" t="n"/>
      <c r="K29" s="26" t="n"/>
      <c r="L29" s="28">
        <f>IF(A29="","",IFERROR(K29-I29,0))</f>
        <v/>
      </c>
      <c r="M29" s="11">
        <f>IF(A29="","",IF(K29="","Pendente",IF(ABS(L29)&lt;=0.01,"Conciliado","Divergente")))</f>
        <v/>
      </c>
      <c r="N29" s="4" t="n"/>
      <c r="O29" s="11">
        <f>IF(B29="","",TEXT(B29,"mm/aaaa"))</f>
        <v/>
      </c>
    </row>
    <row r="30" ht="22" customHeight="1">
      <c r="A30" s="2" t="n"/>
      <c r="B30" s="30" t="n"/>
      <c r="C30" s="2" t="n"/>
      <c r="D30" s="4" t="n"/>
      <c r="E30" s="5">
        <f>IF(D30="","",IFERROR(VLOOKUP(D30,'Auxiliar'!$A$2:$B$9,2,FALSE),"Não classificado"))</f>
        <v/>
      </c>
      <c r="F30" s="2" t="n"/>
      <c r="G30" s="4" t="n"/>
      <c r="H30" s="4" t="n"/>
      <c r="I30" s="26" t="n"/>
      <c r="J30" s="30" t="n"/>
      <c r="K30" s="26" t="n"/>
      <c r="L30" s="27">
        <f>IF(A30="","",IFERROR(K30-I30,0))</f>
        <v/>
      </c>
      <c r="M30" s="8">
        <f>IF(A30="","",IF(K30="","Pendente",IF(ABS(L30)&lt;=0.01,"Conciliado","Divergente")))</f>
        <v/>
      </c>
      <c r="N30" s="4" t="n"/>
      <c r="O30" s="8">
        <f>IF(B30="","",TEXT(B30,"mm/aaaa"))</f>
        <v/>
      </c>
    </row>
    <row r="31" ht="22" customHeight="1">
      <c r="A31" s="2" t="n"/>
      <c r="B31" s="30" t="n"/>
      <c r="C31" s="2" t="n"/>
      <c r="D31" s="4" t="n"/>
      <c r="E31" s="9">
        <f>IF(D31="","",IFERROR(VLOOKUP(D31,'Auxiliar'!$A$2:$B$9,2,FALSE),"Não classificado"))</f>
        <v/>
      </c>
      <c r="F31" s="2" t="n"/>
      <c r="G31" s="4" t="n"/>
      <c r="H31" s="4" t="n"/>
      <c r="I31" s="26" t="n"/>
      <c r="J31" s="30" t="n"/>
      <c r="K31" s="26" t="n"/>
      <c r="L31" s="28">
        <f>IF(A31="","",IFERROR(K31-I31,0))</f>
        <v/>
      </c>
      <c r="M31" s="11">
        <f>IF(A31="","",IF(K31="","Pendente",IF(ABS(L31)&lt;=0.01,"Conciliado","Divergente")))</f>
        <v/>
      </c>
      <c r="N31" s="4" t="n"/>
      <c r="O31" s="11">
        <f>IF(B31="","",TEXT(B31,"mm/aaaa"))</f>
        <v/>
      </c>
    </row>
    <row r="32" ht="22" customHeight="1">
      <c r="A32" s="2" t="n"/>
      <c r="B32" s="30" t="n"/>
      <c r="C32" s="2" t="n"/>
      <c r="D32" s="4" t="n"/>
      <c r="E32" s="5">
        <f>IF(D32="","",IFERROR(VLOOKUP(D32,'Auxiliar'!$A$2:$B$9,2,FALSE),"Não classificado"))</f>
        <v/>
      </c>
      <c r="F32" s="2" t="n"/>
      <c r="G32" s="4" t="n"/>
      <c r="H32" s="4" t="n"/>
      <c r="I32" s="26" t="n"/>
      <c r="J32" s="30" t="n"/>
      <c r="K32" s="26" t="n"/>
      <c r="L32" s="27">
        <f>IF(A32="","",IFERROR(K32-I32,0))</f>
        <v/>
      </c>
      <c r="M32" s="8">
        <f>IF(A32="","",IF(K32="","Pendente",IF(ABS(L32)&lt;=0.01,"Conciliado","Divergente")))</f>
        <v/>
      </c>
      <c r="N32" s="4" t="n"/>
      <c r="O32" s="8">
        <f>IF(B32="","",TEXT(B32,"mm/aaaa"))</f>
        <v/>
      </c>
    </row>
    <row r="33" ht="22" customHeight="1">
      <c r="A33" s="2" t="n"/>
      <c r="B33" s="30" t="n"/>
      <c r="C33" s="2" t="n"/>
      <c r="D33" s="4" t="n"/>
      <c r="E33" s="9">
        <f>IF(D33="","",IFERROR(VLOOKUP(D33,'Auxiliar'!$A$2:$B$9,2,FALSE),"Não classificado"))</f>
        <v/>
      </c>
      <c r="F33" s="2" t="n"/>
      <c r="G33" s="4" t="n"/>
      <c r="H33" s="4" t="n"/>
      <c r="I33" s="26" t="n"/>
      <c r="J33" s="30" t="n"/>
      <c r="K33" s="26" t="n"/>
      <c r="L33" s="28">
        <f>IF(A33="","",IFERROR(K33-I33,0))</f>
        <v/>
      </c>
      <c r="M33" s="11">
        <f>IF(A33="","",IF(K33="","Pendente",IF(ABS(L33)&lt;=0.01,"Conciliado","Divergente")))</f>
        <v/>
      </c>
      <c r="N33" s="4" t="n"/>
      <c r="O33" s="11">
        <f>IF(B33="","",TEXT(B33,"mm/aaaa"))</f>
        <v/>
      </c>
    </row>
    <row r="34" ht="22" customHeight="1">
      <c r="A34" s="2" t="n"/>
      <c r="B34" s="30" t="n"/>
      <c r="C34" s="2" t="n"/>
      <c r="D34" s="4" t="n"/>
      <c r="E34" s="5">
        <f>IF(D34="","",IFERROR(VLOOKUP(D34,'Auxiliar'!$A$2:$B$9,2,FALSE),"Não classificado"))</f>
        <v/>
      </c>
      <c r="F34" s="2" t="n"/>
      <c r="G34" s="4" t="n"/>
      <c r="H34" s="4" t="n"/>
      <c r="I34" s="26" t="n"/>
      <c r="J34" s="30" t="n"/>
      <c r="K34" s="26" t="n"/>
      <c r="L34" s="27">
        <f>IF(A34="","",IFERROR(K34-I34,0))</f>
        <v/>
      </c>
      <c r="M34" s="8">
        <f>IF(A34="","",IF(K34="","Pendente",IF(ABS(L34)&lt;=0.01,"Conciliado","Divergente")))</f>
        <v/>
      </c>
      <c r="N34" s="4" t="n"/>
      <c r="O34" s="8">
        <f>IF(B34="","",TEXT(B34,"mm/aaaa"))</f>
        <v/>
      </c>
    </row>
    <row r="35" ht="22" customHeight="1">
      <c r="A35" s="2" t="n"/>
      <c r="B35" s="30" t="n"/>
      <c r="C35" s="2" t="n"/>
      <c r="D35" s="4" t="n"/>
      <c r="E35" s="9">
        <f>IF(D35="","",IFERROR(VLOOKUP(D35,'Auxiliar'!$A$2:$B$9,2,FALSE),"Não classificado"))</f>
        <v/>
      </c>
      <c r="F35" s="2" t="n"/>
      <c r="G35" s="4" t="n"/>
      <c r="H35" s="4" t="n"/>
      <c r="I35" s="26" t="n"/>
      <c r="J35" s="30" t="n"/>
      <c r="K35" s="26" t="n"/>
      <c r="L35" s="28">
        <f>IF(A35="","",IFERROR(K35-I35,0))</f>
        <v/>
      </c>
      <c r="M35" s="11">
        <f>IF(A35="","",IF(K35="","Pendente",IF(ABS(L35)&lt;=0.01,"Conciliado","Divergente")))</f>
        <v/>
      </c>
      <c r="N35" s="4" t="n"/>
      <c r="O35" s="11">
        <f>IF(B35="","",TEXT(B35,"mm/aaaa"))</f>
        <v/>
      </c>
    </row>
    <row r="36" ht="22" customHeight="1">
      <c r="A36" s="2" t="n"/>
      <c r="B36" s="30" t="n"/>
      <c r="C36" s="2" t="n"/>
      <c r="D36" s="4" t="n"/>
      <c r="E36" s="5">
        <f>IF(D36="","",IFERROR(VLOOKUP(D36,'Auxiliar'!$A$2:$B$9,2,FALSE),"Não classificado"))</f>
        <v/>
      </c>
      <c r="F36" s="2" t="n"/>
      <c r="G36" s="4" t="n"/>
      <c r="H36" s="4" t="n"/>
      <c r="I36" s="26" t="n"/>
      <c r="J36" s="30" t="n"/>
      <c r="K36" s="26" t="n"/>
      <c r="L36" s="27">
        <f>IF(A36="","",IFERROR(K36-I36,0))</f>
        <v/>
      </c>
      <c r="M36" s="8">
        <f>IF(A36="","",IF(K36="","Pendente",IF(ABS(L36)&lt;=0.01,"Conciliado","Divergente")))</f>
        <v/>
      </c>
      <c r="N36" s="4" t="n"/>
      <c r="O36" s="8">
        <f>IF(B36="","",TEXT(B36,"mm/aaaa"))</f>
        <v/>
      </c>
    </row>
    <row r="37" ht="22" customHeight="1">
      <c r="A37" s="2" t="n"/>
      <c r="B37" s="30" t="n"/>
      <c r="C37" s="2" t="n"/>
      <c r="D37" s="4" t="n"/>
      <c r="E37" s="9">
        <f>IF(D37="","",IFERROR(VLOOKUP(D37,'Auxiliar'!$A$2:$B$9,2,FALSE),"Não classificado"))</f>
        <v/>
      </c>
      <c r="F37" s="2" t="n"/>
      <c r="G37" s="4" t="n"/>
      <c r="H37" s="4" t="n"/>
      <c r="I37" s="26" t="n"/>
      <c r="J37" s="30" t="n"/>
      <c r="K37" s="26" t="n"/>
      <c r="L37" s="28">
        <f>IF(A37="","",IFERROR(K37-I37,0))</f>
        <v/>
      </c>
      <c r="M37" s="11">
        <f>IF(A37="","",IF(K37="","Pendente",IF(ABS(L37)&lt;=0.01,"Conciliado","Divergente")))</f>
        <v/>
      </c>
      <c r="N37" s="4" t="n"/>
      <c r="O37" s="11">
        <f>IF(B37="","",TEXT(B37,"mm/aaaa"))</f>
        <v/>
      </c>
    </row>
    <row r="38" ht="22" customHeight="1">
      <c r="A38" s="2" t="n"/>
      <c r="B38" s="30" t="n"/>
      <c r="C38" s="2" t="n"/>
      <c r="D38" s="4" t="n"/>
      <c r="E38" s="5">
        <f>IF(D38="","",IFERROR(VLOOKUP(D38,'Auxiliar'!$A$2:$B$9,2,FALSE),"Não classificado"))</f>
        <v/>
      </c>
      <c r="F38" s="2" t="n"/>
      <c r="G38" s="4" t="n"/>
      <c r="H38" s="4" t="n"/>
      <c r="I38" s="26" t="n"/>
      <c r="J38" s="30" t="n"/>
      <c r="K38" s="26" t="n"/>
      <c r="L38" s="27">
        <f>IF(A38="","",IFERROR(K38-I38,0))</f>
        <v/>
      </c>
      <c r="M38" s="8">
        <f>IF(A38="","",IF(K38="","Pendente",IF(ABS(L38)&lt;=0.01,"Conciliado","Divergente")))</f>
        <v/>
      </c>
      <c r="N38" s="4" t="n"/>
      <c r="O38" s="8">
        <f>IF(B38="","",TEXT(B38,"mm/aaaa"))</f>
        <v/>
      </c>
    </row>
    <row r="39" ht="22" customHeight="1">
      <c r="A39" s="2" t="n"/>
      <c r="B39" s="30" t="n"/>
      <c r="C39" s="2" t="n"/>
      <c r="D39" s="4" t="n"/>
      <c r="E39" s="9">
        <f>IF(D39="","",IFERROR(VLOOKUP(D39,'Auxiliar'!$A$2:$B$9,2,FALSE),"Não classificado"))</f>
        <v/>
      </c>
      <c r="F39" s="2" t="n"/>
      <c r="G39" s="4" t="n"/>
      <c r="H39" s="4" t="n"/>
      <c r="I39" s="26" t="n"/>
      <c r="J39" s="30" t="n"/>
      <c r="K39" s="26" t="n"/>
      <c r="L39" s="28">
        <f>IF(A39="","",IFERROR(K39-I39,0))</f>
        <v/>
      </c>
      <c r="M39" s="11">
        <f>IF(A39="","",IF(K39="","Pendente",IF(ABS(L39)&lt;=0.01,"Conciliado","Divergente")))</f>
        <v/>
      </c>
      <c r="N39" s="4" t="n"/>
      <c r="O39" s="11">
        <f>IF(B39="","",TEXT(B39,"mm/aaaa"))</f>
        <v/>
      </c>
    </row>
    <row r="40" ht="22" customHeight="1">
      <c r="A40" s="2" t="n"/>
      <c r="B40" s="30" t="n"/>
      <c r="C40" s="2" t="n"/>
      <c r="D40" s="4" t="n"/>
      <c r="E40" s="5">
        <f>IF(D40="","",IFERROR(VLOOKUP(D40,'Auxiliar'!$A$2:$B$9,2,FALSE),"Não classificado"))</f>
        <v/>
      </c>
      <c r="F40" s="2" t="n"/>
      <c r="G40" s="4" t="n"/>
      <c r="H40" s="4" t="n"/>
      <c r="I40" s="26" t="n"/>
      <c r="J40" s="30" t="n"/>
      <c r="K40" s="26" t="n"/>
      <c r="L40" s="27">
        <f>IF(A40="","",IFERROR(K40-I40,0))</f>
        <v/>
      </c>
      <c r="M40" s="8">
        <f>IF(A40="","",IF(K40="","Pendente",IF(ABS(L40)&lt;=0.01,"Conciliado","Divergente")))</f>
        <v/>
      </c>
      <c r="N40" s="4" t="n"/>
      <c r="O40" s="8">
        <f>IF(B40="","",TEXT(B40,"mm/aaaa"))</f>
        <v/>
      </c>
    </row>
    <row r="41" ht="22" customHeight="1">
      <c r="A41" s="2" t="n"/>
      <c r="B41" s="30" t="n"/>
      <c r="C41" s="2" t="n"/>
      <c r="D41" s="4" t="n"/>
      <c r="E41" s="9">
        <f>IF(D41="","",IFERROR(VLOOKUP(D41,'Auxiliar'!$A$2:$B$9,2,FALSE),"Não classificado"))</f>
        <v/>
      </c>
      <c r="F41" s="2" t="n"/>
      <c r="G41" s="4" t="n"/>
      <c r="H41" s="4" t="n"/>
      <c r="I41" s="26" t="n"/>
      <c r="J41" s="30" t="n"/>
      <c r="K41" s="26" t="n"/>
      <c r="L41" s="28">
        <f>IF(A41="","",IFERROR(K41-I41,0))</f>
        <v/>
      </c>
      <c r="M41" s="11">
        <f>IF(A41="","",IF(K41="","Pendente",IF(ABS(L41)&lt;=0.01,"Conciliado","Divergente")))</f>
        <v/>
      </c>
      <c r="N41" s="4" t="n"/>
      <c r="O41" s="11">
        <f>IF(B41="","",TEXT(B41,"mm/aaaa"))</f>
        <v/>
      </c>
    </row>
    <row r="42" ht="22" customHeight="1">
      <c r="A42" s="2" t="n"/>
      <c r="B42" s="30" t="n"/>
      <c r="C42" s="2" t="n"/>
      <c r="D42" s="4" t="n"/>
      <c r="E42" s="5">
        <f>IF(D42="","",IFERROR(VLOOKUP(D42,'Auxiliar'!$A$2:$B$9,2,FALSE),"Não classificado"))</f>
        <v/>
      </c>
      <c r="F42" s="2" t="n"/>
      <c r="G42" s="4" t="n"/>
      <c r="H42" s="4" t="n"/>
      <c r="I42" s="26" t="n"/>
      <c r="J42" s="30" t="n"/>
      <c r="K42" s="26" t="n"/>
      <c r="L42" s="27">
        <f>IF(A42="","",IFERROR(K42-I42,0))</f>
        <v/>
      </c>
      <c r="M42" s="8">
        <f>IF(A42="","",IF(K42="","Pendente",IF(ABS(L42)&lt;=0.01,"Conciliado","Divergente")))</f>
        <v/>
      </c>
      <c r="N42" s="4" t="n"/>
      <c r="O42" s="8">
        <f>IF(B42="","",TEXT(B42,"mm/aaaa"))</f>
        <v/>
      </c>
    </row>
    <row r="43" ht="22" customHeight="1">
      <c r="A43" s="2" t="n"/>
      <c r="B43" s="30" t="n"/>
      <c r="C43" s="2" t="n"/>
      <c r="D43" s="4" t="n"/>
      <c r="E43" s="9">
        <f>IF(D43="","",IFERROR(VLOOKUP(D43,'Auxiliar'!$A$2:$B$9,2,FALSE),"Não classificado"))</f>
        <v/>
      </c>
      <c r="F43" s="2" t="n"/>
      <c r="G43" s="4" t="n"/>
      <c r="H43" s="4" t="n"/>
      <c r="I43" s="26" t="n"/>
      <c r="J43" s="30" t="n"/>
      <c r="K43" s="26" t="n"/>
      <c r="L43" s="28">
        <f>IF(A43="","",IFERROR(K43-I43,0))</f>
        <v/>
      </c>
      <c r="M43" s="11">
        <f>IF(A43="","",IF(K43="","Pendente",IF(ABS(L43)&lt;=0.01,"Conciliado","Divergente")))</f>
        <v/>
      </c>
      <c r="N43" s="4" t="n"/>
      <c r="O43" s="11">
        <f>IF(B43="","",TEXT(B43,"mm/aaaa"))</f>
        <v/>
      </c>
    </row>
    <row r="44" ht="22" customHeight="1">
      <c r="A44" s="2" t="n"/>
      <c r="B44" s="30" t="n"/>
      <c r="C44" s="2" t="n"/>
      <c r="D44" s="4" t="n"/>
      <c r="E44" s="5">
        <f>IF(D44="","",IFERROR(VLOOKUP(D44,'Auxiliar'!$A$2:$B$9,2,FALSE),"Não classificado"))</f>
        <v/>
      </c>
      <c r="F44" s="2" t="n"/>
      <c r="G44" s="4" t="n"/>
      <c r="H44" s="4" t="n"/>
      <c r="I44" s="26" t="n"/>
      <c r="J44" s="30" t="n"/>
      <c r="K44" s="26" t="n"/>
      <c r="L44" s="27">
        <f>IF(A44="","",IFERROR(K44-I44,0))</f>
        <v/>
      </c>
      <c r="M44" s="8">
        <f>IF(A44="","",IF(K44="","Pendente",IF(ABS(L44)&lt;=0.01,"Conciliado","Divergente")))</f>
        <v/>
      </c>
      <c r="N44" s="4" t="n"/>
      <c r="O44" s="8">
        <f>IF(B44="","",TEXT(B44,"mm/aaaa"))</f>
        <v/>
      </c>
    </row>
    <row r="45" ht="22" customHeight="1">
      <c r="A45" s="2" t="n"/>
      <c r="B45" s="30" t="n"/>
      <c r="C45" s="2" t="n"/>
      <c r="D45" s="4" t="n"/>
      <c r="E45" s="9">
        <f>IF(D45="","",IFERROR(VLOOKUP(D45,'Auxiliar'!$A$2:$B$9,2,FALSE),"Não classificado"))</f>
        <v/>
      </c>
      <c r="F45" s="2" t="n"/>
      <c r="G45" s="4" t="n"/>
      <c r="H45" s="4" t="n"/>
      <c r="I45" s="26" t="n"/>
      <c r="J45" s="30" t="n"/>
      <c r="K45" s="26" t="n"/>
      <c r="L45" s="28">
        <f>IF(A45="","",IFERROR(K45-I45,0))</f>
        <v/>
      </c>
      <c r="M45" s="11">
        <f>IF(A45="","",IF(K45="","Pendente",IF(ABS(L45)&lt;=0.01,"Conciliado","Divergente")))</f>
        <v/>
      </c>
      <c r="N45" s="4" t="n"/>
      <c r="O45" s="11">
        <f>IF(B45="","",TEXT(B45,"mm/aaaa"))</f>
        <v/>
      </c>
    </row>
    <row r="46" ht="22" customHeight="1">
      <c r="A46" s="2" t="n"/>
      <c r="B46" s="30" t="n"/>
      <c r="C46" s="2" t="n"/>
      <c r="D46" s="4" t="n"/>
      <c r="E46" s="5">
        <f>IF(D46="","",IFERROR(VLOOKUP(D46,'Auxiliar'!$A$2:$B$9,2,FALSE),"Não classificado"))</f>
        <v/>
      </c>
      <c r="F46" s="2" t="n"/>
      <c r="G46" s="4" t="n"/>
      <c r="H46" s="4" t="n"/>
      <c r="I46" s="26" t="n"/>
      <c r="J46" s="30" t="n"/>
      <c r="K46" s="26" t="n"/>
      <c r="L46" s="27">
        <f>IF(A46="","",IFERROR(K46-I46,0))</f>
        <v/>
      </c>
      <c r="M46" s="8">
        <f>IF(A46="","",IF(K46="","Pendente",IF(ABS(L46)&lt;=0.01,"Conciliado","Divergente")))</f>
        <v/>
      </c>
      <c r="N46" s="4" t="n"/>
      <c r="O46" s="8">
        <f>IF(B46="","",TEXT(B46,"mm/aaaa"))</f>
        <v/>
      </c>
    </row>
    <row r="47" ht="22" customHeight="1">
      <c r="A47" s="2" t="n"/>
      <c r="B47" s="30" t="n"/>
      <c r="C47" s="2" t="n"/>
      <c r="D47" s="4" t="n"/>
      <c r="E47" s="9">
        <f>IF(D47="","",IFERROR(VLOOKUP(D47,'Auxiliar'!$A$2:$B$9,2,FALSE),"Não classificado"))</f>
        <v/>
      </c>
      <c r="F47" s="2" t="n"/>
      <c r="G47" s="4" t="n"/>
      <c r="H47" s="4" t="n"/>
      <c r="I47" s="26" t="n"/>
      <c r="J47" s="30" t="n"/>
      <c r="K47" s="26" t="n"/>
      <c r="L47" s="28">
        <f>IF(A47="","",IFERROR(K47-I47,0))</f>
        <v/>
      </c>
      <c r="M47" s="11">
        <f>IF(A47="","",IF(K47="","Pendente",IF(ABS(L47)&lt;=0.01,"Conciliado","Divergente")))</f>
        <v/>
      </c>
      <c r="N47" s="4" t="n"/>
      <c r="O47" s="11">
        <f>IF(B47="","",TEXT(B47,"mm/aaaa"))</f>
        <v/>
      </c>
    </row>
    <row r="48" ht="22" customHeight="1">
      <c r="A48" s="2" t="n"/>
      <c r="B48" s="30" t="n"/>
      <c r="C48" s="2" t="n"/>
      <c r="D48" s="4" t="n"/>
      <c r="E48" s="5">
        <f>IF(D48="","",IFERROR(VLOOKUP(D48,'Auxiliar'!$A$2:$B$9,2,FALSE),"Não classificado"))</f>
        <v/>
      </c>
      <c r="F48" s="2" t="n"/>
      <c r="G48" s="4" t="n"/>
      <c r="H48" s="4" t="n"/>
      <c r="I48" s="26" t="n"/>
      <c r="J48" s="30" t="n"/>
      <c r="K48" s="26" t="n"/>
      <c r="L48" s="27">
        <f>IF(A48="","",IFERROR(K48-I48,0))</f>
        <v/>
      </c>
      <c r="M48" s="8">
        <f>IF(A48="","",IF(K48="","Pendente",IF(ABS(L48)&lt;=0.01,"Conciliado","Divergente")))</f>
        <v/>
      </c>
      <c r="N48" s="4" t="n"/>
      <c r="O48" s="8">
        <f>IF(B48="","",TEXT(B48,"mm/aaaa"))</f>
        <v/>
      </c>
    </row>
    <row r="49" ht="22" customHeight="1">
      <c r="A49" s="2" t="n"/>
      <c r="B49" s="30" t="n"/>
      <c r="C49" s="2" t="n"/>
      <c r="D49" s="4" t="n"/>
      <c r="E49" s="9">
        <f>IF(D49="","",IFERROR(VLOOKUP(D49,'Auxiliar'!$A$2:$B$9,2,FALSE),"Não classificado"))</f>
        <v/>
      </c>
      <c r="F49" s="2" t="n"/>
      <c r="G49" s="4" t="n"/>
      <c r="H49" s="4" t="n"/>
      <c r="I49" s="26" t="n"/>
      <c r="J49" s="30" t="n"/>
      <c r="K49" s="26" t="n"/>
      <c r="L49" s="28">
        <f>IF(A49="","",IFERROR(K49-I49,0))</f>
        <v/>
      </c>
      <c r="M49" s="11">
        <f>IF(A49="","",IF(K49="","Pendente",IF(ABS(L49)&lt;=0.01,"Conciliado","Divergente")))</f>
        <v/>
      </c>
      <c r="N49" s="4" t="n"/>
      <c r="O49" s="11">
        <f>IF(B49="","",TEXT(B49,"mm/aaaa"))</f>
        <v/>
      </c>
    </row>
    <row r="50" ht="22" customHeight="1">
      <c r="A50" s="2" t="n"/>
      <c r="B50" s="30" t="n"/>
      <c r="C50" s="2" t="n"/>
      <c r="D50" s="4" t="n"/>
      <c r="E50" s="5">
        <f>IF(D50="","",IFERROR(VLOOKUP(D50,'Auxiliar'!$A$2:$B$9,2,FALSE),"Não classificado"))</f>
        <v/>
      </c>
      <c r="F50" s="2" t="n"/>
      <c r="G50" s="4" t="n"/>
      <c r="H50" s="4" t="n"/>
      <c r="I50" s="26" t="n"/>
      <c r="J50" s="30" t="n"/>
      <c r="K50" s="26" t="n"/>
      <c r="L50" s="27">
        <f>IF(A50="","",IFERROR(K50-I50,0))</f>
        <v/>
      </c>
      <c r="M50" s="8">
        <f>IF(A50="","",IF(K50="","Pendente",IF(ABS(L50)&lt;=0.01,"Conciliado","Divergente")))</f>
        <v/>
      </c>
      <c r="N50" s="4" t="n"/>
      <c r="O50" s="8">
        <f>IF(B50="","",TEXT(B50,"mm/aaaa"))</f>
        <v/>
      </c>
    </row>
    <row r="51" ht="22" customHeight="1">
      <c r="A51" s="2" t="n"/>
      <c r="B51" s="30" t="n"/>
      <c r="C51" s="2" t="n"/>
      <c r="D51" s="4" t="n"/>
      <c r="E51" s="9">
        <f>IF(D51="","",IFERROR(VLOOKUP(D51,'Auxiliar'!$A$2:$B$9,2,FALSE),"Não classificado"))</f>
        <v/>
      </c>
      <c r="F51" s="2" t="n"/>
      <c r="G51" s="4" t="n"/>
      <c r="H51" s="4" t="n"/>
      <c r="I51" s="26" t="n"/>
      <c r="J51" s="30" t="n"/>
      <c r="K51" s="26" t="n"/>
      <c r="L51" s="28">
        <f>IF(A51="","",IFERROR(K51-I51,0))</f>
        <v/>
      </c>
      <c r="M51" s="11">
        <f>IF(A51="","",IF(K51="","Pendente",IF(ABS(L51)&lt;=0.01,"Conciliado","Divergente")))</f>
        <v/>
      </c>
      <c r="N51" s="4" t="n"/>
      <c r="O51" s="11">
        <f>IF(B51="","",TEXT(B51,"mm/aaaa"))</f>
        <v/>
      </c>
    </row>
    <row r="52" ht="22" customHeight="1">
      <c r="A52" s="2" t="n"/>
      <c r="B52" s="30" t="n"/>
      <c r="C52" s="2" t="n"/>
      <c r="D52" s="4" t="n"/>
      <c r="E52" s="5">
        <f>IF(D52="","",IFERROR(VLOOKUP(D52,'Auxiliar'!$A$2:$B$9,2,FALSE),"Não classificado"))</f>
        <v/>
      </c>
      <c r="F52" s="2" t="n"/>
      <c r="G52" s="4" t="n"/>
      <c r="H52" s="4" t="n"/>
      <c r="I52" s="26" t="n"/>
      <c r="J52" s="30" t="n"/>
      <c r="K52" s="26" t="n"/>
      <c r="L52" s="27">
        <f>IF(A52="","",IFERROR(K52-I52,0))</f>
        <v/>
      </c>
      <c r="M52" s="8">
        <f>IF(A52="","",IF(K52="","Pendente",IF(ABS(L52)&lt;=0.01,"Conciliado","Divergente")))</f>
        <v/>
      </c>
      <c r="N52" s="4" t="n"/>
      <c r="O52" s="8">
        <f>IF(B52="","",TEXT(B52,"mm/aaaa"))</f>
        <v/>
      </c>
    </row>
    <row r="53" ht="22" customHeight="1">
      <c r="A53" s="2" t="n"/>
      <c r="B53" s="30" t="n"/>
      <c r="C53" s="2" t="n"/>
      <c r="D53" s="4" t="n"/>
      <c r="E53" s="9">
        <f>IF(D53="","",IFERROR(VLOOKUP(D53,'Auxiliar'!$A$2:$B$9,2,FALSE),"Não classificado"))</f>
        <v/>
      </c>
      <c r="F53" s="2" t="n"/>
      <c r="G53" s="4" t="n"/>
      <c r="H53" s="4" t="n"/>
      <c r="I53" s="26" t="n"/>
      <c r="J53" s="30" t="n"/>
      <c r="K53" s="26" t="n"/>
      <c r="L53" s="28">
        <f>IF(A53="","",IFERROR(K53-I53,0))</f>
        <v/>
      </c>
      <c r="M53" s="11">
        <f>IF(A53="","",IF(K53="","Pendente",IF(ABS(L53)&lt;=0.01,"Conciliado","Divergente")))</f>
        <v/>
      </c>
      <c r="N53" s="4" t="n"/>
      <c r="O53" s="11">
        <f>IF(B53="","",TEXT(B53,"mm/aaaa"))</f>
        <v/>
      </c>
    </row>
    <row r="54" ht="22" customHeight="1">
      <c r="A54" s="2" t="n"/>
      <c r="B54" s="30" t="n"/>
      <c r="C54" s="2" t="n"/>
      <c r="D54" s="4" t="n"/>
      <c r="E54" s="5">
        <f>IF(D54="","",IFERROR(VLOOKUP(D54,'Auxiliar'!$A$2:$B$9,2,FALSE),"Não classificado"))</f>
        <v/>
      </c>
      <c r="F54" s="2" t="n"/>
      <c r="G54" s="4" t="n"/>
      <c r="H54" s="4" t="n"/>
      <c r="I54" s="26" t="n"/>
      <c r="J54" s="30" t="n"/>
      <c r="K54" s="26" t="n"/>
      <c r="L54" s="27">
        <f>IF(A54="","",IFERROR(K54-I54,0))</f>
        <v/>
      </c>
      <c r="M54" s="8">
        <f>IF(A54="","",IF(K54="","Pendente",IF(ABS(L54)&lt;=0.01,"Conciliado","Divergente")))</f>
        <v/>
      </c>
      <c r="N54" s="4" t="n"/>
      <c r="O54" s="8">
        <f>IF(B54="","",TEXT(B54,"mm/aaaa"))</f>
        <v/>
      </c>
    </row>
    <row r="55" ht="22" customHeight="1">
      <c r="A55" s="2" t="n"/>
      <c r="B55" s="30" t="n"/>
      <c r="C55" s="2" t="n"/>
      <c r="D55" s="4" t="n"/>
      <c r="E55" s="9">
        <f>IF(D55="","",IFERROR(VLOOKUP(D55,'Auxiliar'!$A$2:$B$9,2,FALSE),"Não classificado"))</f>
        <v/>
      </c>
      <c r="F55" s="2" t="n"/>
      <c r="G55" s="4" t="n"/>
      <c r="H55" s="4" t="n"/>
      <c r="I55" s="26" t="n"/>
      <c r="J55" s="30" t="n"/>
      <c r="K55" s="26" t="n"/>
      <c r="L55" s="28">
        <f>IF(A55="","",IFERROR(K55-I55,0))</f>
        <v/>
      </c>
      <c r="M55" s="11">
        <f>IF(A55="","",IF(K55="","Pendente",IF(ABS(L55)&lt;=0.01,"Conciliado","Divergente")))</f>
        <v/>
      </c>
      <c r="N55" s="4" t="n"/>
      <c r="O55" s="11">
        <f>IF(B55="","",TEXT(B55,"mm/aaaa"))</f>
        <v/>
      </c>
    </row>
    <row r="56" ht="22" customHeight="1">
      <c r="A56" s="2" t="n"/>
      <c r="B56" s="30" t="n"/>
      <c r="C56" s="2" t="n"/>
      <c r="D56" s="4" t="n"/>
      <c r="E56" s="5">
        <f>IF(D56="","",IFERROR(VLOOKUP(D56,'Auxiliar'!$A$2:$B$9,2,FALSE),"Não classificado"))</f>
        <v/>
      </c>
      <c r="F56" s="2" t="n"/>
      <c r="G56" s="4" t="n"/>
      <c r="H56" s="4" t="n"/>
      <c r="I56" s="26" t="n"/>
      <c r="J56" s="30" t="n"/>
      <c r="K56" s="26" t="n"/>
      <c r="L56" s="27">
        <f>IF(A56="","",IFERROR(K56-I56,0))</f>
        <v/>
      </c>
      <c r="M56" s="8">
        <f>IF(A56="","",IF(K56="","Pendente",IF(ABS(L56)&lt;=0.01,"Conciliado","Divergente")))</f>
        <v/>
      </c>
      <c r="N56" s="4" t="n"/>
      <c r="O56" s="8">
        <f>IF(B56="","",TEXT(B56,"mm/aaaa"))</f>
        <v/>
      </c>
    </row>
    <row r="57" ht="22" customHeight="1">
      <c r="A57" s="2" t="n"/>
      <c r="B57" s="30" t="n"/>
      <c r="C57" s="2" t="n"/>
      <c r="D57" s="4" t="n"/>
      <c r="E57" s="9">
        <f>IF(D57="","",IFERROR(VLOOKUP(D57,'Auxiliar'!$A$2:$B$9,2,FALSE),"Não classificado"))</f>
        <v/>
      </c>
      <c r="F57" s="2" t="n"/>
      <c r="G57" s="4" t="n"/>
      <c r="H57" s="4" t="n"/>
      <c r="I57" s="26" t="n"/>
      <c r="J57" s="30" t="n"/>
      <c r="K57" s="26" t="n"/>
      <c r="L57" s="28">
        <f>IF(A57="","",IFERROR(K57-I57,0))</f>
        <v/>
      </c>
      <c r="M57" s="11">
        <f>IF(A57="","",IF(K57="","Pendente",IF(ABS(L57)&lt;=0.01,"Conciliado","Divergente")))</f>
        <v/>
      </c>
      <c r="N57" s="4" t="n"/>
      <c r="O57" s="11">
        <f>IF(B57="","",TEXT(B57,"mm/aaaa"))</f>
        <v/>
      </c>
    </row>
    <row r="58" ht="22" customHeight="1">
      <c r="A58" s="2" t="n"/>
      <c r="B58" s="30" t="n"/>
      <c r="C58" s="2" t="n"/>
      <c r="D58" s="4" t="n"/>
      <c r="E58" s="5">
        <f>IF(D58="","",IFERROR(VLOOKUP(D58,'Auxiliar'!$A$2:$B$9,2,FALSE),"Não classificado"))</f>
        <v/>
      </c>
      <c r="F58" s="2" t="n"/>
      <c r="G58" s="4" t="n"/>
      <c r="H58" s="4" t="n"/>
      <c r="I58" s="26" t="n"/>
      <c r="J58" s="30" t="n"/>
      <c r="K58" s="26" t="n"/>
      <c r="L58" s="27">
        <f>IF(A58="","",IFERROR(K58-I58,0))</f>
        <v/>
      </c>
      <c r="M58" s="8">
        <f>IF(A58="","",IF(K58="","Pendente",IF(ABS(L58)&lt;=0.01,"Conciliado","Divergente")))</f>
        <v/>
      </c>
      <c r="N58" s="4" t="n"/>
      <c r="O58" s="8">
        <f>IF(B58="","",TEXT(B58,"mm/aaaa"))</f>
        <v/>
      </c>
    </row>
    <row r="59" ht="22" customHeight="1">
      <c r="A59" s="2" t="n"/>
      <c r="B59" s="30" t="n"/>
      <c r="C59" s="2" t="n"/>
      <c r="D59" s="4" t="n"/>
      <c r="E59" s="9">
        <f>IF(D59="","",IFERROR(VLOOKUP(D59,'Auxiliar'!$A$2:$B$9,2,FALSE),"Não classificado"))</f>
        <v/>
      </c>
      <c r="F59" s="2" t="n"/>
      <c r="G59" s="4" t="n"/>
      <c r="H59" s="4" t="n"/>
      <c r="I59" s="26" t="n"/>
      <c r="J59" s="30" t="n"/>
      <c r="K59" s="26" t="n"/>
      <c r="L59" s="28">
        <f>IF(A59="","",IFERROR(K59-I59,0))</f>
        <v/>
      </c>
      <c r="M59" s="11">
        <f>IF(A59="","",IF(K59="","Pendente",IF(ABS(L59)&lt;=0.01,"Conciliado","Divergente")))</f>
        <v/>
      </c>
      <c r="N59" s="4" t="n"/>
      <c r="O59" s="11">
        <f>IF(B59="","",TEXT(B59,"mm/aaaa"))</f>
        <v/>
      </c>
    </row>
    <row r="60" ht="22" customHeight="1">
      <c r="A60" s="2" t="n"/>
      <c r="B60" s="30" t="n"/>
      <c r="C60" s="2" t="n"/>
      <c r="D60" s="4" t="n"/>
      <c r="E60" s="5">
        <f>IF(D60="","",IFERROR(VLOOKUP(D60,'Auxiliar'!$A$2:$B$9,2,FALSE),"Não classificado"))</f>
        <v/>
      </c>
      <c r="F60" s="2" t="n"/>
      <c r="G60" s="4" t="n"/>
      <c r="H60" s="4" t="n"/>
      <c r="I60" s="26" t="n"/>
      <c r="J60" s="30" t="n"/>
      <c r="K60" s="26" t="n"/>
      <c r="L60" s="27">
        <f>IF(A60="","",IFERROR(K60-I60,0))</f>
        <v/>
      </c>
      <c r="M60" s="8">
        <f>IF(A60="","",IF(K60="","Pendente",IF(ABS(L60)&lt;=0.01,"Conciliado","Divergente")))</f>
        <v/>
      </c>
      <c r="N60" s="4" t="n"/>
      <c r="O60" s="8">
        <f>IF(B60="","",TEXT(B60,"mm/aaaa"))</f>
        <v/>
      </c>
    </row>
    <row r="61" ht="22" customHeight="1">
      <c r="A61" s="2" t="n"/>
      <c r="B61" s="30" t="n"/>
      <c r="C61" s="2" t="n"/>
      <c r="D61" s="4" t="n"/>
      <c r="E61" s="9">
        <f>IF(D61="","",IFERROR(VLOOKUP(D61,'Auxiliar'!$A$2:$B$9,2,FALSE),"Não classificado"))</f>
        <v/>
      </c>
      <c r="F61" s="2" t="n"/>
      <c r="G61" s="4" t="n"/>
      <c r="H61" s="4" t="n"/>
      <c r="I61" s="26" t="n"/>
      <c r="J61" s="30" t="n"/>
      <c r="K61" s="26" t="n"/>
      <c r="L61" s="28">
        <f>IF(A61="","",IFERROR(K61-I61,0))</f>
        <v/>
      </c>
      <c r="M61" s="11">
        <f>IF(A61="","",IF(K61="","Pendente",IF(ABS(L61)&lt;=0.01,"Conciliado","Divergente")))</f>
        <v/>
      </c>
      <c r="N61" s="4" t="n"/>
      <c r="O61" s="11">
        <f>IF(B61="","",TEXT(B61,"mm/aaaa"))</f>
        <v/>
      </c>
    </row>
    <row r="62" ht="22" customHeight="1">
      <c r="A62" s="2" t="n"/>
      <c r="B62" s="30" t="n"/>
      <c r="C62" s="2" t="n"/>
      <c r="D62" s="4" t="n"/>
      <c r="E62" s="5">
        <f>IF(D62="","",IFERROR(VLOOKUP(D62,'Auxiliar'!$A$2:$B$9,2,FALSE),"Não classificado"))</f>
        <v/>
      </c>
      <c r="F62" s="2" t="n"/>
      <c r="G62" s="4" t="n"/>
      <c r="H62" s="4" t="n"/>
      <c r="I62" s="26" t="n"/>
      <c r="J62" s="30" t="n"/>
      <c r="K62" s="26" t="n"/>
      <c r="L62" s="27">
        <f>IF(A62="","",IFERROR(K62-I62,0))</f>
        <v/>
      </c>
      <c r="M62" s="8">
        <f>IF(A62="","",IF(K62="","Pendente",IF(ABS(L62)&lt;=0.01,"Conciliado","Divergente")))</f>
        <v/>
      </c>
      <c r="N62" s="4" t="n"/>
      <c r="O62" s="8">
        <f>IF(B62="","",TEXT(B62,"mm/aaaa"))</f>
        <v/>
      </c>
    </row>
    <row r="63" ht="22" customHeight="1">
      <c r="A63" s="2" t="n"/>
      <c r="B63" s="30" t="n"/>
      <c r="C63" s="2" t="n"/>
      <c r="D63" s="4" t="n"/>
      <c r="E63" s="9">
        <f>IF(D63="","",IFERROR(VLOOKUP(D63,'Auxiliar'!$A$2:$B$9,2,FALSE),"Não classificado"))</f>
        <v/>
      </c>
      <c r="F63" s="2" t="n"/>
      <c r="G63" s="4" t="n"/>
      <c r="H63" s="4" t="n"/>
      <c r="I63" s="26" t="n"/>
      <c r="J63" s="30" t="n"/>
      <c r="K63" s="26" t="n"/>
      <c r="L63" s="28">
        <f>IF(A63="","",IFERROR(K63-I63,0))</f>
        <v/>
      </c>
      <c r="M63" s="11">
        <f>IF(A63="","",IF(K63="","Pendente",IF(ABS(L63)&lt;=0.01,"Conciliado","Divergente")))</f>
        <v/>
      </c>
      <c r="N63" s="4" t="n"/>
      <c r="O63" s="11">
        <f>IF(B63="","",TEXT(B63,"mm/aaaa"))</f>
        <v/>
      </c>
    </row>
    <row r="64" ht="22" customHeight="1">
      <c r="A64" s="2" t="n"/>
      <c r="B64" s="30" t="n"/>
      <c r="C64" s="2" t="n"/>
      <c r="D64" s="4" t="n"/>
      <c r="E64" s="5">
        <f>IF(D64="","",IFERROR(VLOOKUP(D64,'Auxiliar'!$A$2:$B$9,2,FALSE),"Não classificado"))</f>
        <v/>
      </c>
      <c r="F64" s="2" t="n"/>
      <c r="G64" s="4" t="n"/>
      <c r="H64" s="4" t="n"/>
      <c r="I64" s="26" t="n"/>
      <c r="J64" s="30" t="n"/>
      <c r="K64" s="26" t="n"/>
      <c r="L64" s="27">
        <f>IF(A64="","",IFERROR(K64-I64,0))</f>
        <v/>
      </c>
      <c r="M64" s="8">
        <f>IF(A64="","",IF(K64="","Pendente",IF(ABS(L64)&lt;=0.01,"Conciliado","Divergente")))</f>
        <v/>
      </c>
      <c r="N64" s="4" t="n"/>
      <c r="O64" s="8">
        <f>IF(B64="","",TEXT(B64,"mm/aaaa"))</f>
        <v/>
      </c>
    </row>
    <row r="65" ht="22" customHeight="1">
      <c r="A65" s="2" t="n"/>
      <c r="B65" s="30" t="n"/>
      <c r="C65" s="2" t="n"/>
      <c r="D65" s="4" t="n"/>
      <c r="E65" s="9">
        <f>IF(D65="","",IFERROR(VLOOKUP(D65,'Auxiliar'!$A$2:$B$9,2,FALSE),"Não classificado"))</f>
        <v/>
      </c>
      <c r="F65" s="2" t="n"/>
      <c r="G65" s="4" t="n"/>
      <c r="H65" s="4" t="n"/>
      <c r="I65" s="26" t="n"/>
      <c r="J65" s="30" t="n"/>
      <c r="K65" s="26" t="n"/>
      <c r="L65" s="28">
        <f>IF(A65="","",IFERROR(K65-I65,0))</f>
        <v/>
      </c>
      <c r="M65" s="11">
        <f>IF(A65="","",IF(K65="","Pendente",IF(ABS(L65)&lt;=0.01,"Conciliado","Divergente")))</f>
        <v/>
      </c>
      <c r="N65" s="4" t="n"/>
      <c r="O65" s="11">
        <f>IF(B65="","",TEXT(B65,"mm/aaaa"))</f>
        <v/>
      </c>
    </row>
    <row r="66" ht="22" customHeight="1">
      <c r="A66" s="2" t="n"/>
      <c r="B66" s="30" t="n"/>
      <c r="C66" s="2" t="n"/>
      <c r="D66" s="4" t="n"/>
      <c r="E66" s="5">
        <f>IF(D66="","",IFERROR(VLOOKUP(D66,'Auxiliar'!$A$2:$B$9,2,FALSE),"Não classificado"))</f>
        <v/>
      </c>
      <c r="F66" s="2" t="n"/>
      <c r="G66" s="4" t="n"/>
      <c r="H66" s="4" t="n"/>
      <c r="I66" s="26" t="n"/>
      <c r="J66" s="30" t="n"/>
      <c r="K66" s="26" t="n"/>
      <c r="L66" s="27">
        <f>IF(A66="","",IFERROR(K66-I66,0))</f>
        <v/>
      </c>
      <c r="M66" s="8">
        <f>IF(A66="","",IF(K66="","Pendente",IF(ABS(L66)&lt;=0.01,"Conciliado","Divergente")))</f>
        <v/>
      </c>
      <c r="N66" s="4" t="n"/>
      <c r="O66" s="8">
        <f>IF(B66="","",TEXT(B66,"mm/aaaa"))</f>
        <v/>
      </c>
    </row>
    <row r="67" ht="22" customHeight="1">
      <c r="A67" s="2" t="n"/>
      <c r="B67" s="30" t="n"/>
      <c r="C67" s="2" t="n"/>
      <c r="D67" s="4" t="n"/>
      <c r="E67" s="9">
        <f>IF(D67="","",IFERROR(VLOOKUP(D67,'Auxiliar'!$A$2:$B$9,2,FALSE),"Não classificado"))</f>
        <v/>
      </c>
      <c r="F67" s="2" t="n"/>
      <c r="G67" s="4" t="n"/>
      <c r="H67" s="4" t="n"/>
      <c r="I67" s="26" t="n"/>
      <c r="J67" s="30" t="n"/>
      <c r="K67" s="26" t="n"/>
      <c r="L67" s="28">
        <f>IF(A67="","",IFERROR(K67-I67,0))</f>
        <v/>
      </c>
      <c r="M67" s="11">
        <f>IF(A67="","",IF(K67="","Pendente",IF(ABS(L67)&lt;=0.01,"Conciliado","Divergente")))</f>
        <v/>
      </c>
      <c r="N67" s="4" t="n"/>
      <c r="O67" s="11">
        <f>IF(B67="","",TEXT(B67,"mm/aaaa"))</f>
        <v/>
      </c>
    </row>
    <row r="68" ht="22" customHeight="1">
      <c r="A68" s="2" t="n"/>
      <c r="B68" s="30" t="n"/>
      <c r="C68" s="2" t="n"/>
      <c r="D68" s="4" t="n"/>
      <c r="E68" s="5">
        <f>IF(D68="","",IFERROR(VLOOKUP(D68,'Auxiliar'!$A$2:$B$9,2,FALSE),"Não classificado"))</f>
        <v/>
      </c>
      <c r="F68" s="2" t="n"/>
      <c r="G68" s="4" t="n"/>
      <c r="H68" s="4" t="n"/>
      <c r="I68" s="26" t="n"/>
      <c r="J68" s="30" t="n"/>
      <c r="K68" s="26" t="n"/>
      <c r="L68" s="27">
        <f>IF(A68="","",IFERROR(K68-I68,0))</f>
        <v/>
      </c>
      <c r="M68" s="8">
        <f>IF(A68="","",IF(K68="","Pendente",IF(ABS(L68)&lt;=0.01,"Conciliado","Divergente")))</f>
        <v/>
      </c>
      <c r="N68" s="4" t="n"/>
      <c r="O68" s="8">
        <f>IF(B68="","",TEXT(B68,"mm/aaaa"))</f>
        <v/>
      </c>
    </row>
    <row r="69" ht="22" customHeight="1">
      <c r="A69" s="2" t="n"/>
      <c r="B69" s="30" t="n"/>
      <c r="C69" s="2" t="n"/>
      <c r="D69" s="4" t="n"/>
      <c r="E69" s="9">
        <f>IF(D69="","",IFERROR(VLOOKUP(D69,'Auxiliar'!$A$2:$B$9,2,FALSE),"Não classificado"))</f>
        <v/>
      </c>
      <c r="F69" s="2" t="n"/>
      <c r="G69" s="4" t="n"/>
      <c r="H69" s="4" t="n"/>
      <c r="I69" s="26" t="n"/>
      <c r="J69" s="30" t="n"/>
      <c r="K69" s="26" t="n"/>
      <c r="L69" s="28">
        <f>IF(A69="","",IFERROR(K69-I69,0))</f>
        <v/>
      </c>
      <c r="M69" s="11">
        <f>IF(A69="","",IF(K69="","Pendente",IF(ABS(L69)&lt;=0.01,"Conciliado","Divergente")))</f>
        <v/>
      </c>
      <c r="N69" s="4" t="n"/>
      <c r="O69" s="11">
        <f>IF(B69="","",TEXT(B69,"mm/aaaa"))</f>
        <v/>
      </c>
    </row>
    <row r="70" ht="22" customHeight="1">
      <c r="A70" s="2" t="n"/>
      <c r="B70" s="30" t="n"/>
      <c r="C70" s="2" t="n"/>
      <c r="D70" s="4" t="n"/>
      <c r="E70" s="5">
        <f>IF(D70="","",IFERROR(VLOOKUP(D70,'Auxiliar'!$A$2:$B$9,2,FALSE),"Não classificado"))</f>
        <v/>
      </c>
      <c r="F70" s="2" t="n"/>
      <c r="G70" s="4" t="n"/>
      <c r="H70" s="4" t="n"/>
      <c r="I70" s="26" t="n"/>
      <c r="J70" s="30" t="n"/>
      <c r="K70" s="26" t="n"/>
      <c r="L70" s="27">
        <f>IF(A70="","",IFERROR(K70-I70,0))</f>
        <v/>
      </c>
      <c r="M70" s="8">
        <f>IF(A70="","",IF(K70="","Pendente",IF(ABS(L70)&lt;=0.01,"Conciliado","Divergente")))</f>
        <v/>
      </c>
      <c r="N70" s="4" t="n"/>
      <c r="O70" s="8">
        <f>IF(B70="","",TEXT(B70,"mm/aaaa"))</f>
        <v/>
      </c>
    </row>
    <row r="71" ht="22" customHeight="1">
      <c r="A71" s="2" t="n"/>
      <c r="B71" s="30" t="n"/>
      <c r="C71" s="2" t="n"/>
      <c r="D71" s="4" t="n"/>
      <c r="E71" s="9">
        <f>IF(D71="","",IFERROR(VLOOKUP(D71,'Auxiliar'!$A$2:$B$9,2,FALSE),"Não classificado"))</f>
        <v/>
      </c>
      <c r="F71" s="2" t="n"/>
      <c r="G71" s="4" t="n"/>
      <c r="H71" s="4" t="n"/>
      <c r="I71" s="26" t="n"/>
      <c r="J71" s="30" t="n"/>
      <c r="K71" s="26" t="n"/>
      <c r="L71" s="28">
        <f>IF(A71="","",IFERROR(K71-I71,0))</f>
        <v/>
      </c>
      <c r="M71" s="11">
        <f>IF(A71="","",IF(K71="","Pendente",IF(ABS(L71)&lt;=0.01,"Conciliado","Divergente")))</f>
        <v/>
      </c>
      <c r="N71" s="4" t="n"/>
      <c r="O71" s="11">
        <f>IF(B71="","",TEXT(B71,"mm/aaaa"))</f>
        <v/>
      </c>
    </row>
    <row r="72" ht="22" customHeight="1">
      <c r="A72" s="2" t="n"/>
      <c r="B72" s="30" t="n"/>
      <c r="C72" s="2" t="n"/>
      <c r="D72" s="4" t="n"/>
      <c r="E72" s="5">
        <f>IF(D72="","",IFERROR(VLOOKUP(D72,'Auxiliar'!$A$2:$B$9,2,FALSE),"Não classificado"))</f>
        <v/>
      </c>
      <c r="F72" s="2" t="n"/>
      <c r="G72" s="4" t="n"/>
      <c r="H72" s="4" t="n"/>
      <c r="I72" s="26" t="n"/>
      <c r="J72" s="30" t="n"/>
      <c r="K72" s="26" t="n"/>
      <c r="L72" s="27">
        <f>IF(A72="","",IFERROR(K72-I72,0))</f>
        <v/>
      </c>
      <c r="M72" s="8">
        <f>IF(A72="","",IF(K72="","Pendente",IF(ABS(L72)&lt;=0.01,"Conciliado","Divergente")))</f>
        <v/>
      </c>
      <c r="N72" s="4" t="n"/>
      <c r="O72" s="8">
        <f>IF(B72="","",TEXT(B72,"mm/aaaa"))</f>
        <v/>
      </c>
    </row>
    <row r="73" ht="22" customHeight="1">
      <c r="A73" s="2" t="n"/>
      <c r="B73" s="30" t="n"/>
      <c r="C73" s="2" t="n"/>
      <c r="D73" s="4" t="n"/>
      <c r="E73" s="9">
        <f>IF(D73="","",IFERROR(VLOOKUP(D73,'Auxiliar'!$A$2:$B$9,2,FALSE),"Não classificado"))</f>
        <v/>
      </c>
      <c r="F73" s="2" t="n"/>
      <c r="G73" s="4" t="n"/>
      <c r="H73" s="4" t="n"/>
      <c r="I73" s="26" t="n"/>
      <c r="J73" s="30" t="n"/>
      <c r="K73" s="26" t="n"/>
      <c r="L73" s="28">
        <f>IF(A73="","",IFERROR(K73-I73,0))</f>
        <v/>
      </c>
      <c r="M73" s="11">
        <f>IF(A73="","",IF(K73="","Pendente",IF(ABS(L73)&lt;=0.01,"Conciliado","Divergente")))</f>
        <v/>
      </c>
      <c r="N73" s="4" t="n"/>
      <c r="O73" s="11">
        <f>IF(B73="","",TEXT(B73,"mm/aaaa"))</f>
        <v/>
      </c>
    </row>
    <row r="74" ht="22" customHeight="1">
      <c r="A74" s="2" t="n"/>
      <c r="B74" s="30" t="n"/>
      <c r="C74" s="2" t="n"/>
      <c r="D74" s="4" t="n"/>
      <c r="E74" s="5">
        <f>IF(D74="","",IFERROR(VLOOKUP(D74,'Auxiliar'!$A$2:$B$9,2,FALSE),"Não classificado"))</f>
        <v/>
      </c>
      <c r="F74" s="2" t="n"/>
      <c r="G74" s="4" t="n"/>
      <c r="H74" s="4" t="n"/>
      <c r="I74" s="26" t="n"/>
      <c r="J74" s="30" t="n"/>
      <c r="K74" s="26" t="n"/>
      <c r="L74" s="27">
        <f>IF(A74="","",IFERROR(K74-I74,0))</f>
        <v/>
      </c>
      <c r="M74" s="8">
        <f>IF(A74="","",IF(K74="","Pendente",IF(ABS(L74)&lt;=0.01,"Conciliado","Divergente")))</f>
        <v/>
      </c>
      <c r="N74" s="4" t="n"/>
      <c r="O74" s="8">
        <f>IF(B74="","",TEXT(B74,"mm/aaaa"))</f>
        <v/>
      </c>
    </row>
    <row r="75" ht="22" customHeight="1">
      <c r="A75" s="2" t="n"/>
      <c r="B75" s="30" t="n"/>
      <c r="C75" s="2" t="n"/>
      <c r="D75" s="4" t="n"/>
      <c r="E75" s="9">
        <f>IF(D75="","",IFERROR(VLOOKUP(D75,'Auxiliar'!$A$2:$B$9,2,FALSE),"Não classificado"))</f>
        <v/>
      </c>
      <c r="F75" s="2" t="n"/>
      <c r="G75" s="4" t="n"/>
      <c r="H75" s="4" t="n"/>
      <c r="I75" s="26" t="n"/>
      <c r="J75" s="30" t="n"/>
      <c r="K75" s="26" t="n"/>
      <c r="L75" s="28">
        <f>IF(A75="","",IFERROR(K75-I75,0))</f>
        <v/>
      </c>
      <c r="M75" s="11">
        <f>IF(A75="","",IF(K75="","Pendente",IF(ABS(L75)&lt;=0.01,"Conciliado","Divergente")))</f>
        <v/>
      </c>
      <c r="N75" s="4" t="n"/>
      <c r="O75" s="11">
        <f>IF(B75="","",TEXT(B75,"mm/aaaa"))</f>
        <v/>
      </c>
    </row>
    <row r="76" ht="22" customHeight="1">
      <c r="A76" s="2" t="n"/>
      <c r="B76" s="30" t="n"/>
      <c r="C76" s="2" t="n"/>
      <c r="D76" s="4" t="n"/>
      <c r="E76" s="5">
        <f>IF(D76="","",IFERROR(VLOOKUP(D76,'Auxiliar'!$A$2:$B$9,2,FALSE),"Não classificado"))</f>
        <v/>
      </c>
      <c r="F76" s="2" t="n"/>
      <c r="G76" s="4" t="n"/>
      <c r="H76" s="4" t="n"/>
      <c r="I76" s="26" t="n"/>
      <c r="J76" s="30" t="n"/>
      <c r="K76" s="26" t="n"/>
      <c r="L76" s="27">
        <f>IF(A76="","",IFERROR(K76-I76,0))</f>
        <v/>
      </c>
      <c r="M76" s="8">
        <f>IF(A76="","",IF(K76="","Pendente",IF(ABS(L76)&lt;=0.01,"Conciliado","Divergente")))</f>
        <v/>
      </c>
      <c r="N76" s="4" t="n"/>
      <c r="O76" s="8">
        <f>IF(B76="","",TEXT(B76,"mm/aaaa"))</f>
        <v/>
      </c>
    </row>
    <row r="77" ht="22" customHeight="1">
      <c r="A77" s="2" t="n"/>
      <c r="B77" s="30" t="n"/>
      <c r="C77" s="2" t="n"/>
      <c r="D77" s="4" t="n"/>
      <c r="E77" s="9">
        <f>IF(D77="","",IFERROR(VLOOKUP(D77,'Auxiliar'!$A$2:$B$9,2,FALSE),"Não classificado"))</f>
        <v/>
      </c>
      <c r="F77" s="2" t="n"/>
      <c r="G77" s="4" t="n"/>
      <c r="H77" s="4" t="n"/>
      <c r="I77" s="26" t="n"/>
      <c r="J77" s="30" t="n"/>
      <c r="K77" s="26" t="n"/>
      <c r="L77" s="28">
        <f>IF(A77="","",IFERROR(K77-I77,0))</f>
        <v/>
      </c>
      <c r="M77" s="11">
        <f>IF(A77="","",IF(K77="","Pendente",IF(ABS(L77)&lt;=0.01,"Conciliado","Divergente")))</f>
        <v/>
      </c>
      <c r="N77" s="4" t="n"/>
      <c r="O77" s="11">
        <f>IF(B77="","",TEXT(B77,"mm/aaaa"))</f>
        <v/>
      </c>
    </row>
    <row r="78" ht="22" customHeight="1">
      <c r="A78" s="2" t="n"/>
      <c r="B78" s="30" t="n"/>
      <c r="C78" s="2" t="n"/>
      <c r="D78" s="4" t="n"/>
      <c r="E78" s="5">
        <f>IF(D78="","",IFERROR(VLOOKUP(D78,'Auxiliar'!$A$2:$B$9,2,FALSE),"Não classificado"))</f>
        <v/>
      </c>
      <c r="F78" s="2" t="n"/>
      <c r="G78" s="4" t="n"/>
      <c r="H78" s="4" t="n"/>
      <c r="I78" s="26" t="n"/>
      <c r="J78" s="30" t="n"/>
      <c r="K78" s="26" t="n"/>
      <c r="L78" s="27">
        <f>IF(A78="","",IFERROR(K78-I78,0))</f>
        <v/>
      </c>
      <c r="M78" s="8">
        <f>IF(A78="","",IF(K78="","Pendente",IF(ABS(L78)&lt;=0.01,"Conciliado","Divergente")))</f>
        <v/>
      </c>
      <c r="N78" s="4" t="n"/>
      <c r="O78" s="8">
        <f>IF(B78="","",TEXT(B78,"mm/aaaa"))</f>
        <v/>
      </c>
    </row>
    <row r="79" ht="22" customHeight="1">
      <c r="A79" s="2" t="n"/>
      <c r="B79" s="30" t="n"/>
      <c r="C79" s="2" t="n"/>
      <c r="D79" s="4" t="n"/>
      <c r="E79" s="9">
        <f>IF(D79="","",IFERROR(VLOOKUP(D79,'Auxiliar'!$A$2:$B$9,2,FALSE),"Não classificado"))</f>
        <v/>
      </c>
      <c r="F79" s="2" t="n"/>
      <c r="G79" s="4" t="n"/>
      <c r="H79" s="4" t="n"/>
      <c r="I79" s="26" t="n"/>
      <c r="J79" s="30" t="n"/>
      <c r="K79" s="26" t="n"/>
      <c r="L79" s="28">
        <f>IF(A79="","",IFERROR(K79-I79,0))</f>
        <v/>
      </c>
      <c r="M79" s="11">
        <f>IF(A79="","",IF(K79="","Pendente",IF(ABS(L79)&lt;=0.01,"Conciliado","Divergente")))</f>
        <v/>
      </c>
      <c r="N79" s="4" t="n"/>
      <c r="O79" s="11">
        <f>IF(B79="","",TEXT(B79,"mm/aaaa"))</f>
        <v/>
      </c>
    </row>
    <row r="80" ht="22" customHeight="1">
      <c r="A80" s="2" t="n"/>
      <c r="B80" s="30" t="n"/>
      <c r="C80" s="2" t="n"/>
      <c r="D80" s="4" t="n"/>
      <c r="E80" s="5">
        <f>IF(D80="","",IFERROR(VLOOKUP(D80,'Auxiliar'!$A$2:$B$9,2,FALSE),"Não classificado"))</f>
        <v/>
      </c>
      <c r="F80" s="2" t="n"/>
      <c r="G80" s="4" t="n"/>
      <c r="H80" s="4" t="n"/>
      <c r="I80" s="26" t="n"/>
      <c r="J80" s="30" t="n"/>
      <c r="K80" s="26" t="n"/>
      <c r="L80" s="27">
        <f>IF(A80="","",IFERROR(K80-I80,0))</f>
        <v/>
      </c>
      <c r="M80" s="8">
        <f>IF(A80="","",IF(K80="","Pendente",IF(ABS(L80)&lt;=0.01,"Conciliado","Divergente")))</f>
        <v/>
      </c>
      <c r="N80" s="4" t="n"/>
      <c r="O80" s="8">
        <f>IF(B80="","",TEXT(B80,"mm/aaaa"))</f>
        <v/>
      </c>
    </row>
    <row r="81" ht="22" customHeight="1">
      <c r="A81" s="2" t="n"/>
      <c r="B81" s="30" t="n"/>
      <c r="C81" s="2" t="n"/>
      <c r="D81" s="4" t="n"/>
      <c r="E81" s="9">
        <f>IF(D81="","",IFERROR(VLOOKUP(D81,'Auxiliar'!$A$2:$B$9,2,FALSE),"Não classificado"))</f>
        <v/>
      </c>
      <c r="F81" s="2" t="n"/>
      <c r="G81" s="4" t="n"/>
      <c r="H81" s="4" t="n"/>
      <c r="I81" s="26" t="n"/>
      <c r="J81" s="30" t="n"/>
      <c r="K81" s="26" t="n"/>
      <c r="L81" s="28">
        <f>IF(A81="","",IFERROR(K81-I81,0))</f>
        <v/>
      </c>
      <c r="M81" s="11">
        <f>IF(A81="","",IF(K81="","Pendente",IF(ABS(L81)&lt;=0.01,"Conciliado","Divergente")))</f>
        <v/>
      </c>
      <c r="N81" s="4" t="n"/>
      <c r="O81" s="11">
        <f>IF(B81="","",TEXT(B81,"mm/aaaa"))</f>
        <v/>
      </c>
    </row>
    <row r="82" ht="22" customHeight="1">
      <c r="A82" s="2" t="n"/>
      <c r="B82" s="30" t="n"/>
      <c r="C82" s="2" t="n"/>
      <c r="D82" s="4" t="n"/>
      <c r="E82" s="5">
        <f>IF(D82="","",IFERROR(VLOOKUP(D82,'Auxiliar'!$A$2:$B$9,2,FALSE),"Não classificado"))</f>
        <v/>
      </c>
      <c r="F82" s="2" t="n"/>
      <c r="G82" s="4" t="n"/>
      <c r="H82" s="4" t="n"/>
      <c r="I82" s="26" t="n"/>
      <c r="J82" s="30" t="n"/>
      <c r="K82" s="26" t="n"/>
      <c r="L82" s="27">
        <f>IF(A82="","",IFERROR(K82-I82,0))</f>
        <v/>
      </c>
      <c r="M82" s="8">
        <f>IF(A82="","",IF(K82="","Pendente",IF(ABS(L82)&lt;=0.01,"Conciliado","Divergente")))</f>
        <v/>
      </c>
      <c r="N82" s="4" t="n"/>
      <c r="O82" s="8">
        <f>IF(B82="","",TEXT(B82,"mm/aaaa"))</f>
        <v/>
      </c>
    </row>
    <row r="83" ht="22" customHeight="1">
      <c r="A83" s="2" t="n"/>
      <c r="B83" s="30" t="n"/>
      <c r="C83" s="2" t="n"/>
      <c r="D83" s="4" t="n"/>
      <c r="E83" s="9">
        <f>IF(D83="","",IFERROR(VLOOKUP(D83,'Auxiliar'!$A$2:$B$9,2,FALSE),"Não classificado"))</f>
        <v/>
      </c>
      <c r="F83" s="2" t="n"/>
      <c r="G83" s="4" t="n"/>
      <c r="H83" s="4" t="n"/>
      <c r="I83" s="26" t="n"/>
      <c r="J83" s="30" t="n"/>
      <c r="K83" s="26" t="n"/>
      <c r="L83" s="28">
        <f>IF(A83="","",IFERROR(K83-I83,0))</f>
        <v/>
      </c>
      <c r="M83" s="11">
        <f>IF(A83="","",IF(K83="","Pendente",IF(ABS(L83)&lt;=0.01,"Conciliado","Divergente")))</f>
        <v/>
      </c>
      <c r="N83" s="4" t="n"/>
      <c r="O83" s="11">
        <f>IF(B83="","",TEXT(B83,"mm/aaaa"))</f>
        <v/>
      </c>
    </row>
    <row r="84" ht="22" customHeight="1">
      <c r="A84" s="2" t="n"/>
      <c r="B84" s="30" t="n"/>
      <c r="C84" s="2" t="n"/>
      <c r="D84" s="4" t="n"/>
      <c r="E84" s="5">
        <f>IF(D84="","",IFERROR(VLOOKUP(D84,'Auxiliar'!$A$2:$B$9,2,FALSE),"Não classificado"))</f>
        <v/>
      </c>
      <c r="F84" s="2" t="n"/>
      <c r="G84" s="4" t="n"/>
      <c r="H84" s="4" t="n"/>
      <c r="I84" s="26" t="n"/>
      <c r="J84" s="30" t="n"/>
      <c r="K84" s="26" t="n"/>
      <c r="L84" s="27">
        <f>IF(A84="","",IFERROR(K84-I84,0))</f>
        <v/>
      </c>
      <c r="M84" s="8">
        <f>IF(A84="","",IF(K84="","Pendente",IF(ABS(L84)&lt;=0.01,"Conciliado","Divergente")))</f>
        <v/>
      </c>
      <c r="N84" s="4" t="n"/>
      <c r="O84" s="8">
        <f>IF(B84="","",TEXT(B84,"mm/aaaa"))</f>
        <v/>
      </c>
    </row>
    <row r="85" ht="22" customHeight="1">
      <c r="A85" s="2" t="n"/>
      <c r="B85" s="30" t="n"/>
      <c r="C85" s="2" t="n"/>
      <c r="D85" s="4" t="n"/>
      <c r="E85" s="9">
        <f>IF(D85="","",IFERROR(VLOOKUP(D85,'Auxiliar'!$A$2:$B$9,2,FALSE),"Não classificado"))</f>
        <v/>
      </c>
      <c r="F85" s="2" t="n"/>
      <c r="G85" s="4" t="n"/>
      <c r="H85" s="4" t="n"/>
      <c r="I85" s="26" t="n"/>
      <c r="J85" s="30" t="n"/>
      <c r="K85" s="26" t="n"/>
      <c r="L85" s="28">
        <f>IF(A85="","",IFERROR(K85-I85,0))</f>
        <v/>
      </c>
      <c r="M85" s="11">
        <f>IF(A85="","",IF(K85="","Pendente",IF(ABS(L85)&lt;=0.01,"Conciliado","Divergente")))</f>
        <v/>
      </c>
      <c r="N85" s="4" t="n"/>
      <c r="O85" s="11">
        <f>IF(B85="","",TEXT(B85,"mm/aaaa"))</f>
        <v/>
      </c>
    </row>
    <row r="86" ht="22" customHeight="1">
      <c r="A86" s="2" t="n"/>
      <c r="B86" s="30" t="n"/>
      <c r="C86" s="2" t="n"/>
      <c r="D86" s="4" t="n"/>
      <c r="E86" s="5">
        <f>IF(D86="","",IFERROR(VLOOKUP(D86,'Auxiliar'!$A$2:$B$9,2,FALSE),"Não classificado"))</f>
        <v/>
      </c>
      <c r="F86" s="2" t="n"/>
      <c r="G86" s="4" t="n"/>
      <c r="H86" s="4" t="n"/>
      <c r="I86" s="26" t="n"/>
      <c r="J86" s="30" t="n"/>
      <c r="K86" s="26" t="n"/>
      <c r="L86" s="27">
        <f>IF(A86="","",IFERROR(K86-I86,0))</f>
        <v/>
      </c>
      <c r="M86" s="8">
        <f>IF(A86="","",IF(K86="","Pendente",IF(ABS(L86)&lt;=0.01,"Conciliado","Divergente")))</f>
        <v/>
      </c>
      <c r="N86" s="4" t="n"/>
      <c r="O86" s="8">
        <f>IF(B86="","",TEXT(B86,"mm/aaaa"))</f>
        <v/>
      </c>
    </row>
    <row r="87" ht="22" customHeight="1">
      <c r="A87" s="2" t="n"/>
      <c r="B87" s="30" t="n"/>
      <c r="C87" s="2" t="n"/>
      <c r="D87" s="4" t="n"/>
      <c r="E87" s="9">
        <f>IF(D87="","",IFERROR(VLOOKUP(D87,'Auxiliar'!$A$2:$B$9,2,FALSE),"Não classificado"))</f>
        <v/>
      </c>
      <c r="F87" s="2" t="n"/>
      <c r="G87" s="4" t="n"/>
      <c r="H87" s="4" t="n"/>
      <c r="I87" s="26" t="n"/>
      <c r="J87" s="30" t="n"/>
      <c r="K87" s="26" t="n"/>
      <c r="L87" s="28">
        <f>IF(A87="","",IFERROR(K87-I87,0))</f>
        <v/>
      </c>
      <c r="M87" s="11">
        <f>IF(A87="","",IF(K87="","Pendente",IF(ABS(L87)&lt;=0.01,"Conciliado","Divergente")))</f>
        <v/>
      </c>
      <c r="N87" s="4" t="n"/>
      <c r="O87" s="11">
        <f>IF(B87="","",TEXT(B87,"mm/aaaa"))</f>
        <v/>
      </c>
    </row>
    <row r="88" ht="22" customHeight="1">
      <c r="A88" s="2" t="n"/>
      <c r="B88" s="30" t="n"/>
      <c r="C88" s="2" t="n"/>
      <c r="D88" s="4" t="n"/>
      <c r="E88" s="5">
        <f>IF(D88="","",IFERROR(VLOOKUP(D88,'Auxiliar'!$A$2:$B$9,2,FALSE),"Não classificado"))</f>
        <v/>
      </c>
      <c r="F88" s="2" t="n"/>
      <c r="G88" s="4" t="n"/>
      <c r="H88" s="4" t="n"/>
      <c r="I88" s="26" t="n"/>
      <c r="J88" s="30" t="n"/>
      <c r="K88" s="26" t="n"/>
      <c r="L88" s="27">
        <f>IF(A88="","",IFERROR(K88-I88,0))</f>
        <v/>
      </c>
      <c r="M88" s="8">
        <f>IF(A88="","",IF(K88="","Pendente",IF(ABS(L88)&lt;=0.01,"Conciliado","Divergente")))</f>
        <v/>
      </c>
      <c r="N88" s="4" t="n"/>
      <c r="O88" s="8">
        <f>IF(B88="","",TEXT(B88,"mm/aaaa"))</f>
        <v/>
      </c>
    </row>
    <row r="89" ht="22" customHeight="1">
      <c r="A89" s="2" t="n"/>
      <c r="B89" s="30" t="n"/>
      <c r="C89" s="2" t="n"/>
      <c r="D89" s="4" t="n"/>
      <c r="E89" s="9">
        <f>IF(D89="","",IFERROR(VLOOKUP(D89,'Auxiliar'!$A$2:$B$9,2,FALSE),"Não classificado"))</f>
        <v/>
      </c>
      <c r="F89" s="2" t="n"/>
      <c r="G89" s="4" t="n"/>
      <c r="H89" s="4" t="n"/>
      <c r="I89" s="26" t="n"/>
      <c r="J89" s="30" t="n"/>
      <c r="K89" s="26" t="n"/>
      <c r="L89" s="28">
        <f>IF(A89="","",IFERROR(K89-I89,0))</f>
        <v/>
      </c>
      <c r="M89" s="11">
        <f>IF(A89="","",IF(K89="","Pendente",IF(ABS(L89)&lt;=0.01,"Conciliado","Divergente")))</f>
        <v/>
      </c>
      <c r="N89" s="4" t="n"/>
      <c r="O89" s="11">
        <f>IF(B89="","",TEXT(B89,"mm/aaaa"))</f>
        <v/>
      </c>
    </row>
    <row r="90" ht="22" customHeight="1">
      <c r="A90" s="2" t="n"/>
      <c r="B90" s="30" t="n"/>
      <c r="C90" s="2" t="n"/>
      <c r="D90" s="4" t="n"/>
      <c r="E90" s="5">
        <f>IF(D90="","",IFERROR(VLOOKUP(D90,'Auxiliar'!$A$2:$B$9,2,FALSE),"Não classificado"))</f>
        <v/>
      </c>
      <c r="F90" s="2" t="n"/>
      <c r="G90" s="4" t="n"/>
      <c r="H90" s="4" t="n"/>
      <c r="I90" s="26" t="n"/>
      <c r="J90" s="30" t="n"/>
      <c r="K90" s="26" t="n"/>
      <c r="L90" s="27">
        <f>IF(A90="","",IFERROR(K90-I90,0))</f>
        <v/>
      </c>
      <c r="M90" s="8">
        <f>IF(A90="","",IF(K90="","Pendente",IF(ABS(L90)&lt;=0.01,"Conciliado","Divergente")))</f>
        <v/>
      </c>
      <c r="N90" s="4" t="n"/>
      <c r="O90" s="8">
        <f>IF(B90="","",TEXT(B90,"mm/aaaa"))</f>
        <v/>
      </c>
    </row>
    <row r="91" ht="22" customHeight="1">
      <c r="A91" s="2" t="n"/>
      <c r="B91" s="30" t="n"/>
      <c r="C91" s="2" t="n"/>
      <c r="D91" s="4" t="n"/>
      <c r="E91" s="9">
        <f>IF(D91="","",IFERROR(VLOOKUP(D91,'Auxiliar'!$A$2:$B$9,2,FALSE),"Não classificado"))</f>
        <v/>
      </c>
      <c r="F91" s="2" t="n"/>
      <c r="G91" s="4" t="n"/>
      <c r="H91" s="4" t="n"/>
      <c r="I91" s="26" t="n"/>
      <c r="J91" s="30" t="n"/>
      <c r="K91" s="26" t="n"/>
      <c r="L91" s="28">
        <f>IF(A91="","",IFERROR(K91-I91,0))</f>
        <v/>
      </c>
      <c r="M91" s="11">
        <f>IF(A91="","",IF(K91="","Pendente",IF(ABS(L91)&lt;=0.01,"Conciliado","Divergente")))</f>
        <v/>
      </c>
      <c r="N91" s="4" t="n"/>
      <c r="O91" s="11">
        <f>IF(B91="","",TEXT(B91,"mm/aaaa"))</f>
        <v/>
      </c>
    </row>
    <row r="92" ht="22" customHeight="1">
      <c r="A92" s="2" t="n"/>
      <c r="B92" s="30" t="n"/>
      <c r="C92" s="2" t="n"/>
      <c r="D92" s="4" t="n"/>
      <c r="E92" s="5">
        <f>IF(D92="","",IFERROR(VLOOKUP(D92,'Auxiliar'!$A$2:$B$9,2,FALSE),"Não classificado"))</f>
        <v/>
      </c>
      <c r="F92" s="2" t="n"/>
      <c r="G92" s="4" t="n"/>
      <c r="H92" s="4" t="n"/>
      <c r="I92" s="26" t="n"/>
      <c r="J92" s="30" t="n"/>
      <c r="K92" s="26" t="n"/>
      <c r="L92" s="27">
        <f>IF(A92="","",IFERROR(K92-I92,0))</f>
        <v/>
      </c>
      <c r="M92" s="8">
        <f>IF(A92="","",IF(K92="","Pendente",IF(ABS(L92)&lt;=0.01,"Conciliado","Divergente")))</f>
        <v/>
      </c>
      <c r="N92" s="4" t="n"/>
      <c r="O92" s="8">
        <f>IF(B92="","",TEXT(B92,"mm/aaaa"))</f>
        <v/>
      </c>
    </row>
    <row r="93" ht="22" customHeight="1">
      <c r="A93" s="2" t="n"/>
      <c r="B93" s="30" t="n"/>
      <c r="C93" s="2" t="n"/>
      <c r="D93" s="4" t="n"/>
      <c r="E93" s="9">
        <f>IF(D93="","",IFERROR(VLOOKUP(D93,'Auxiliar'!$A$2:$B$9,2,FALSE),"Não classificado"))</f>
        <v/>
      </c>
      <c r="F93" s="2" t="n"/>
      <c r="G93" s="4" t="n"/>
      <c r="H93" s="4" t="n"/>
      <c r="I93" s="26" t="n"/>
      <c r="J93" s="30" t="n"/>
      <c r="K93" s="26" t="n"/>
      <c r="L93" s="28">
        <f>IF(A93="","",IFERROR(K93-I93,0))</f>
        <v/>
      </c>
      <c r="M93" s="11">
        <f>IF(A93="","",IF(K93="","Pendente",IF(ABS(L93)&lt;=0.01,"Conciliado","Divergente")))</f>
        <v/>
      </c>
      <c r="N93" s="4" t="n"/>
      <c r="O93" s="11">
        <f>IF(B93="","",TEXT(B93,"mm/aaaa"))</f>
        <v/>
      </c>
    </row>
    <row r="94" ht="22" customHeight="1">
      <c r="A94" s="2" t="n"/>
      <c r="B94" s="30" t="n"/>
      <c r="C94" s="2" t="n"/>
      <c r="D94" s="4" t="n"/>
      <c r="E94" s="5">
        <f>IF(D94="","",IFERROR(VLOOKUP(D94,'Auxiliar'!$A$2:$B$9,2,FALSE),"Não classificado"))</f>
        <v/>
      </c>
      <c r="F94" s="2" t="n"/>
      <c r="G94" s="4" t="n"/>
      <c r="H94" s="4" t="n"/>
      <c r="I94" s="26" t="n"/>
      <c r="J94" s="30" t="n"/>
      <c r="K94" s="26" t="n"/>
      <c r="L94" s="27">
        <f>IF(A94="","",IFERROR(K94-I94,0))</f>
        <v/>
      </c>
      <c r="M94" s="8">
        <f>IF(A94="","",IF(K94="","Pendente",IF(ABS(L94)&lt;=0.01,"Conciliado","Divergente")))</f>
        <v/>
      </c>
      <c r="N94" s="4" t="n"/>
      <c r="O94" s="8">
        <f>IF(B94="","",TEXT(B94,"mm/aaaa"))</f>
        <v/>
      </c>
    </row>
    <row r="95" ht="22" customHeight="1">
      <c r="A95" s="2" t="n"/>
      <c r="B95" s="30" t="n"/>
      <c r="C95" s="2" t="n"/>
      <c r="D95" s="4" t="n"/>
      <c r="E95" s="9">
        <f>IF(D95="","",IFERROR(VLOOKUP(D95,'Auxiliar'!$A$2:$B$9,2,FALSE),"Não classificado"))</f>
        <v/>
      </c>
      <c r="F95" s="2" t="n"/>
      <c r="G95" s="4" t="n"/>
      <c r="H95" s="4" t="n"/>
      <c r="I95" s="26" t="n"/>
      <c r="J95" s="30" t="n"/>
      <c r="K95" s="26" t="n"/>
      <c r="L95" s="28">
        <f>IF(A95="","",IFERROR(K95-I95,0))</f>
        <v/>
      </c>
      <c r="M95" s="11">
        <f>IF(A95="","",IF(K95="","Pendente",IF(ABS(L95)&lt;=0.01,"Conciliado","Divergente")))</f>
        <v/>
      </c>
      <c r="N95" s="4" t="n"/>
      <c r="O95" s="11">
        <f>IF(B95="","",TEXT(B95,"mm/aaaa"))</f>
        <v/>
      </c>
    </row>
    <row r="96" ht="22" customHeight="1">
      <c r="A96" s="2" t="n"/>
      <c r="B96" s="30" t="n"/>
      <c r="C96" s="2" t="n"/>
      <c r="D96" s="4" t="n"/>
      <c r="E96" s="5">
        <f>IF(D96="","",IFERROR(VLOOKUP(D96,'Auxiliar'!$A$2:$B$9,2,FALSE),"Não classificado"))</f>
        <v/>
      </c>
      <c r="F96" s="2" t="n"/>
      <c r="G96" s="4" t="n"/>
      <c r="H96" s="4" t="n"/>
      <c r="I96" s="26" t="n"/>
      <c r="J96" s="30" t="n"/>
      <c r="K96" s="26" t="n"/>
      <c r="L96" s="27">
        <f>IF(A96="","",IFERROR(K96-I96,0))</f>
        <v/>
      </c>
      <c r="M96" s="8">
        <f>IF(A96="","",IF(K96="","Pendente",IF(ABS(L96)&lt;=0.01,"Conciliado","Divergente")))</f>
        <v/>
      </c>
      <c r="N96" s="4" t="n"/>
      <c r="O96" s="8">
        <f>IF(B96="","",TEXT(B96,"mm/aaaa"))</f>
        <v/>
      </c>
    </row>
    <row r="97" ht="22" customHeight="1">
      <c r="A97" s="2" t="n"/>
      <c r="B97" s="30" t="n"/>
      <c r="C97" s="2" t="n"/>
      <c r="D97" s="4" t="n"/>
      <c r="E97" s="9">
        <f>IF(D97="","",IFERROR(VLOOKUP(D97,'Auxiliar'!$A$2:$B$9,2,FALSE),"Não classificado"))</f>
        <v/>
      </c>
      <c r="F97" s="2" t="n"/>
      <c r="G97" s="4" t="n"/>
      <c r="H97" s="4" t="n"/>
      <c r="I97" s="26" t="n"/>
      <c r="J97" s="30" t="n"/>
      <c r="K97" s="26" t="n"/>
      <c r="L97" s="28">
        <f>IF(A97="","",IFERROR(K97-I97,0))</f>
        <v/>
      </c>
      <c r="M97" s="11">
        <f>IF(A97="","",IF(K97="","Pendente",IF(ABS(L97)&lt;=0.01,"Conciliado","Divergente")))</f>
        <v/>
      </c>
      <c r="N97" s="4" t="n"/>
      <c r="O97" s="11">
        <f>IF(B97="","",TEXT(B97,"mm/aaaa"))</f>
        <v/>
      </c>
    </row>
    <row r="98" ht="22" customHeight="1">
      <c r="A98" s="2" t="n"/>
      <c r="B98" s="30" t="n"/>
      <c r="C98" s="2" t="n"/>
      <c r="D98" s="4" t="n"/>
      <c r="E98" s="5">
        <f>IF(D98="","",IFERROR(VLOOKUP(D98,'Auxiliar'!$A$2:$B$9,2,FALSE),"Não classificado"))</f>
        <v/>
      </c>
      <c r="F98" s="2" t="n"/>
      <c r="G98" s="4" t="n"/>
      <c r="H98" s="4" t="n"/>
      <c r="I98" s="26" t="n"/>
      <c r="J98" s="30" t="n"/>
      <c r="K98" s="26" t="n"/>
      <c r="L98" s="27">
        <f>IF(A98="","",IFERROR(K98-I98,0))</f>
        <v/>
      </c>
      <c r="M98" s="8">
        <f>IF(A98="","",IF(K98="","Pendente",IF(ABS(L98)&lt;=0.01,"Conciliado","Divergente")))</f>
        <v/>
      </c>
      <c r="N98" s="4" t="n"/>
      <c r="O98" s="8">
        <f>IF(B98="","",TEXT(B98,"mm/aaaa"))</f>
        <v/>
      </c>
    </row>
    <row r="99" ht="22" customHeight="1">
      <c r="A99" s="2" t="n"/>
      <c r="B99" s="30" t="n"/>
      <c r="C99" s="2" t="n"/>
      <c r="D99" s="4" t="n"/>
      <c r="E99" s="9">
        <f>IF(D99="","",IFERROR(VLOOKUP(D99,'Auxiliar'!$A$2:$B$9,2,FALSE),"Não classificado"))</f>
        <v/>
      </c>
      <c r="F99" s="2" t="n"/>
      <c r="G99" s="4" t="n"/>
      <c r="H99" s="4" t="n"/>
      <c r="I99" s="26" t="n"/>
      <c r="J99" s="30" t="n"/>
      <c r="K99" s="26" t="n"/>
      <c r="L99" s="28">
        <f>IF(A99="","",IFERROR(K99-I99,0))</f>
        <v/>
      </c>
      <c r="M99" s="11">
        <f>IF(A99="","",IF(K99="","Pendente",IF(ABS(L99)&lt;=0.01,"Conciliado","Divergente")))</f>
        <v/>
      </c>
      <c r="N99" s="4" t="n"/>
      <c r="O99" s="11">
        <f>IF(B99="","",TEXT(B99,"mm/aaaa"))</f>
        <v/>
      </c>
    </row>
    <row r="100" ht="22" customHeight="1">
      <c r="A100" s="2" t="n"/>
      <c r="B100" s="30" t="n"/>
      <c r="C100" s="2" t="n"/>
      <c r="D100" s="4" t="n"/>
      <c r="E100" s="5">
        <f>IF(D100="","",IFERROR(VLOOKUP(D100,'Auxiliar'!$A$2:$B$9,2,FALSE),"Não classificado"))</f>
        <v/>
      </c>
      <c r="F100" s="2" t="n"/>
      <c r="G100" s="4" t="n"/>
      <c r="H100" s="4" t="n"/>
      <c r="I100" s="26" t="n"/>
      <c r="J100" s="30" t="n"/>
      <c r="K100" s="26" t="n"/>
      <c r="L100" s="27">
        <f>IF(A100="","",IFERROR(K100-I100,0))</f>
        <v/>
      </c>
      <c r="M100" s="8">
        <f>IF(A100="","",IF(K100="","Pendente",IF(ABS(L100)&lt;=0.01,"Conciliado","Divergente")))</f>
        <v/>
      </c>
      <c r="N100" s="4" t="n"/>
      <c r="O100" s="8">
        <f>IF(B100="","",TEXT(B100,"mm/aaaa"))</f>
        <v/>
      </c>
    </row>
    <row r="101" ht="22" customHeight="1">
      <c r="A101" s="2" t="n"/>
      <c r="B101" s="30" t="n"/>
      <c r="C101" s="2" t="n"/>
      <c r="D101" s="4" t="n"/>
      <c r="E101" s="9">
        <f>IF(D101="","",IFERROR(VLOOKUP(D101,'Auxiliar'!$A$2:$B$9,2,FALSE),"Não classificado"))</f>
        <v/>
      </c>
      <c r="F101" s="2" t="n"/>
      <c r="G101" s="4" t="n"/>
      <c r="H101" s="4" t="n"/>
      <c r="I101" s="26" t="n"/>
      <c r="J101" s="30" t="n"/>
      <c r="K101" s="26" t="n"/>
      <c r="L101" s="28">
        <f>IF(A101="","",IFERROR(K101-I101,0))</f>
        <v/>
      </c>
      <c r="M101" s="11">
        <f>IF(A101="","",IF(K101="","Pendente",IF(ABS(L101)&lt;=0.01,"Conciliado","Divergente")))</f>
        <v/>
      </c>
      <c r="N101" s="4" t="n"/>
      <c r="O101" s="11">
        <f>IF(B101="","",TEXT(B101,"mm/aaaa"))</f>
        <v/>
      </c>
    </row>
  </sheetData>
  <autoFilter ref="A1:O101"/>
  <conditionalFormatting sqref="M2:M101">
    <cfRule type="expression" priority="1" dxfId="0" stopIfTrue="1">
      <formula>M2="Conciliado"</formula>
    </cfRule>
    <cfRule type="expression" priority="2" dxfId="1" stopIfTrue="1">
      <formula>OR(M2="Pendente",M2="Divergente")</formula>
    </cfRule>
  </conditionalFormatting>
  <conditionalFormatting sqref="L2:L101">
    <cfRule type="expression" priority="3" dxfId="1" stopIfTrue="1">
      <formula>ABS(L2)&gt;0.01</formula>
    </cfRule>
  </conditionalFormatting>
  <conditionalFormatting sqref="K2:K101">
    <cfRule type="expression" priority="4" dxfId="2" stopIfTrue="1">
      <formula>AND($A2&lt;&gt;"",$K2="")</formula>
    </cfRule>
  </conditionalFormatting>
  <dataValidations count="3">
    <dataValidation sqref="C2:C101" showErrorMessage="1" showInputMessage="1" allowBlank="1" errorTitle="Tipo inválido" error="Selecione Crédito ou Débito." type="list">
      <formula1>='Auxiliar'!$F$2:$F$3</formula1>
    </dataValidation>
    <dataValidation sqref="H2:H101" showErrorMessage="1" showInputMessage="1" allowBlank="1" errorTitle="Conta bancária inválida" error="Selecione uma conta cadastrada na aba Auxiliar." type="list">
      <formula1>='Auxiliar'!$D$2:$D$5</formula1>
    </dataValidation>
    <dataValidation sqref="M2:M101" showErrorMessage="1" showInputMessage="1" allowBlank="1" errorTitle="Status inválido" error="Selecione um status cadastrado na aba Auxiliar." type="list">
      <formula1>='Auxiliar'!$H$2:$H$4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11827"/>
    <outlinePr summaryBelow="1" summaryRight="1"/>
    <pageSetUpPr/>
  </sheetPr>
  <dimension ref="A1:H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18" customWidth="1" min="4" max="4"/>
    <col width="18" customWidth="1" min="5" max="5"/>
    <col width="18" customWidth="1" min="6" max="6"/>
    <col width="31" customWidth="1" min="7" max="7"/>
    <col width="18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0" customHeight="1">
      <c r="A1" s="12" t="inlineStr">
        <is>
          <t>Painel executivo | Conciliação bancária</t>
        </is>
      </c>
      <c r="B1" s="13" t="n"/>
      <c r="C1" s="13" t="n"/>
      <c r="D1" s="13" t="n"/>
      <c r="E1" s="13" t="n"/>
      <c r="F1" s="13" t="n"/>
      <c r="G1" s="13" t="n"/>
      <c r="H1" s="13" t="n"/>
    </row>
    <row r="2">
      <c r="D2" s="14" t="inlineStr">
        <is>
          <t>Status</t>
        </is>
      </c>
      <c r="E2" s="14" t="inlineStr">
        <is>
          <t>Quantidade</t>
        </is>
      </c>
      <c r="G2" s="14" t="inlineStr">
        <is>
          <t>Alertas de auditoria</t>
        </is>
      </c>
      <c r="H2" s="14" t="inlineStr">
        <is>
          <t>Qtde./Valor</t>
        </is>
      </c>
    </row>
    <row r="3">
      <c r="A3" s="15" t="inlineStr">
        <is>
          <t>Total de lançamentos</t>
        </is>
      </c>
      <c r="B3" s="16">
        <f>COUNTA('Lançamentos'!$A$2:$A$101)</f>
        <v/>
      </c>
      <c r="D3" s="11" t="inlineStr">
        <is>
          <t>Conciliado</t>
        </is>
      </c>
      <c r="E3" s="11">
        <f>COUNTIF('Lançamentos'!$M$2:$M$101,D3)</f>
        <v/>
      </c>
      <c r="G3" s="9" t="inlineStr">
        <is>
          <t>Lançamentos divergentes</t>
        </is>
      </c>
      <c r="H3" s="17">
        <f>COUNTIF('Lançamentos'!$M$2:$M$101,"Divergente")</f>
        <v/>
      </c>
    </row>
    <row r="4">
      <c r="A4" s="15" t="inlineStr">
        <is>
          <t>Total conciliado</t>
        </is>
      </c>
      <c r="B4" s="16">
        <f>COUNTIF('Lançamentos'!$M$2:$M$101,"Conciliado")</f>
        <v/>
      </c>
      <c r="D4" s="11" t="inlineStr">
        <is>
          <t>Pendente</t>
        </is>
      </c>
      <c r="E4" s="11">
        <f>COUNTIF('Lançamentos'!$M$2:$M$101,D4)</f>
        <v/>
      </c>
      <c r="G4" s="9" t="inlineStr">
        <is>
          <t>Sem correspondência no extrato</t>
        </is>
      </c>
      <c r="H4" s="17">
        <f>COUNTIFS('Lançamentos'!$A$2:$A$101,"&lt;&gt;",'Lançamentos'!$K$2:$K$101,"")</f>
        <v/>
      </c>
    </row>
    <row r="5">
      <c r="A5" s="15" t="inlineStr">
        <is>
          <t>Total pendente</t>
        </is>
      </c>
      <c r="B5" s="16">
        <f>COUNTIF('Lançamentos'!$M$2:$M$101,"Pendente")</f>
        <v/>
      </c>
      <c r="D5" s="11" t="inlineStr">
        <is>
          <t>Divergente</t>
        </is>
      </c>
      <c r="E5" s="11">
        <f>COUNTIF('Lançamentos'!$M$2:$M$101,D5)</f>
        <v/>
      </c>
      <c r="G5" s="9" t="inlineStr">
        <is>
          <t>Valor total das diferenças</t>
        </is>
      </c>
      <c r="H5" s="28">
        <f>SUMIF('Lançamentos'!$M$2:$M$101,"Divergente",'Lançamentos'!$L$2:$L$101)</f>
        <v/>
      </c>
    </row>
    <row r="6">
      <c r="A6" s="15" t="inlineStr">
        <is>
          <t>Total divergente</t>
        </is>
      </c>
      <c r="B6" s="16">
        <f>COUNTIF('Lançamentos'!$M$2:$M$101,"Divergente")</f>
        <v/>
      </c>
    </row>
    <row r="7">
      <c r="A7" s="15" t="inlineStr">
        <is>
          <t>Percentual conciliado</t>
        </is>
      </c>
      <c r="B7" s="18">
        <f>IFERROR(B4/B3,0)</f>
        <v/>
      </c>
    </row>
    <row r="8">
      <c r="A8" s="15" t="inlineStr">
        <is>
          <t>Total de créditos internos</t>
        </is>
      </c>
      <c r="B8" s="29">
        <f>SUMIF('Lançamentos'!$C$2:$C$101,"Crédito",'Lançamentos'!$I$2:$I$101)</f>
        <v/>
      </c>
    </row>
    <row r="9">
      <c r="A9" s="15" t="inlineStr">
        <is>
          <t>Total de débitos internos</t>
        </is>
      </c>
      <c r="B9" s="29">
        <f>SUMIF('Lançamentos'!$C$2:$C$101,"Débito",'Lançamentos'!$I$2:$I$101)</f>
        <v/>
      </c>
    </row>
    <row r="10">
      <c r="A10" s="15" t="inlineStr">
        <is>
          <t>Diferença total</t>
        </is>
      </c>
      <c r="B10" s="29">
        <f>SUM('Lançamentos'!$L$2:$L$101)</f>
        <v/>
      </c>
    </row>
    <row r="11">
      <c r="A11" s="15" t="inlineStr">
        <is>
          <t>Média dos lançamentos</t>
        </is>
      </c>
      <c r="B11" s="29">
        <f>IFERROR(AVERAGE('Lançamentos'!$I$2:$I$101),0)</f>
        <v/>
      </c>
    </row>
    <row r="12"/>
    <row r="13"/>
    <row r="14"/>
    <row r="15">
      <c r="A15" s="1" t="inlineStr">
        <is>
          <t>Categoria</t>
        </is>
      </c>
      <c r="B15" s="1" t="inlineStr">
        <is>
          <t>Valor interno (R$)</t>
        </is>
      </c>
      <c r="D15" s="1" t="inlineStr">
        <is>
          <t>Mês/Ano</t>
        </is>
      </c>
      <c r="E15" s="1" t="inlineStr">
        <is>
          <t>Créditos internos</t>
        </is>
      </c>
      <c r="F15" s="1" t="inlineStr">
        <is>
          <t>Débitos internos</t>
        </is>
      </c>
      <c r="G15" s="1" t="inlineStr">
        <is>
          <t>Saldo líquido</t>
        </is>
      </c>
    </row>
    <row r="16">
      <c r="A16" s="5" t="inlineStr">
        <is>
          <t>Receitas</t>
        </is>
      </c>
      <c r="B16" s="27">
        <f>SUMIF('Lançamentos'!$E$2:$E$101,A16,'Lançamentos'!$I$2:$I$101)</f>
        <v/>
      </c>
      <c r="D16" s="8" t="inlineStr">
        <is>
          <t>01/2026</t>
        </is>
      </c>
      <c r="E16" s="27">
        <f>SUMIFS('Lançamentos'!$I$2:$I$101,'Lançamentos'!$C$2:$C$101,"Crédito",'Lançamentos'!$O$2:$O$101,D16)</f>
        <v/>
      </c>
      <c r="F16" s="27">
        <f>SUMIFS('Lançamentos'!$I$2:$I$101,'Lançamentos'!$C$2:$C$101,"Débito",'Lançamentos'!$O$2:$O$101,D16)</f>
        <v/>
      </c>
      <c r="G16" s="27">
        <f>E16-F16</f>
        <v/>
      </c>
    </row>
    <row r="17">
      <c r="A17" s="9" t="inlineStr">
        <is>
          <t>Fornecedores</t>
        </is>
      </c>
      <c r="B17" s="28">
        <f>SUMIF('Lançamentos'!$E$2:$E$101,A17,'Lançamentos'!$I$2:$I$101)</f>
        <v/>
      </c>
      <c r="D17" s="11" t="inlineStr">
        <is>
          <t>02/2026</t>
        </is>
      </c>
      <c r="E17" s="28">
        <f>SUMIFS('Lançamentos'!$I$2:$I$101,'Lançamentos'!$C$2:$C$101,"Crédito",'Lançamentos'!$O$2:$O$101,D17)</f>
        <v/>
      </c>
      <c r="F17" s="28">
        <f>SUMIFS('Lançamentos'!$I$2:$I$101,'Lançamentos'!$C$2:$C$101,"Débito",'Lançamentos'!$O$2:$O$101,D17)</f>
        <v/>
      </c>
      <c r="G17" s="28">
        <f>E17-F17</f>
        <v/>
      </c>
    </row>
    <row r="18">
      <c r="A18" s="5" t="inlineStr">
        <is>
          <t>Despesas bancárias</t>
        </is>
      </c>
      <c r="B18" s="27">
        <f>SUMIF('Lançamentos'!$E$2:$E$101,A18,'Lançamentos'!$I$2:$I$101)</f>
        <v/>
      </c>
      <c r="D18" s="8" t="inlineStr">
        <is>
          <t>03/2026</t>
        </is>
      </c>
      <c r="E18" s="27">
        <f>SUMIFS('Lançamentos'!$I$2:$I$101,'Lançamentos'!$C$2:$C$101,"Crédito",'Lançamentos'!$O$2:$O$101,D18)</f>
        <v/>
      </c>
      <c r="F18" s="27">
        <f>SUMIFS('Lançamentos'!$I$2:$I$101,'Lançamentos'!$C$2:$C$101,"Débito",'Lançamentos'!$O$2:$O$101,D18)</f>
        <v/>
      </c>
      <c r="G18" s="27">
        <f>E18-F18</f>
        <v/>
      </c>
    </row>
    <row r="19">
      <c r="A19" s="9" t="inlineStr">
        <is>
          <t>Impostos</t>
        </is>
      </c>
      <c r="B19" s="28">
        <f>SUMIF('Lançamentos'!$E$2:$E$101,A19,'Lançamentos'!$I$2:$I$101)</f>
        <v/>
      </c>
      <c r="D19" s="11" t="inlineStr">
        <is>
          <t>04/2026</t>
        </is>
      </c>
      <c r="E19" s="28">
        <f>SUMIFS('Lançamentos'!$I$2:$I$101,'Lançamentos'!$C$2:$C$101,"Crédito",'Lançamentos'!$O$2:$O$101,D19)</f>
        <v/>
      </c>
      <c r="F19" s="28">
        <f>SUMIFS('Lançamentos'!$I$2:$I$101,'Lançamentos'!$C$2:$C$101,"Débito",'Lançamentos'!$O$2:$O$101,D19)</f>
        <v/>
      </c>
      <c r="G19" s="28">
        <f>E19-F19</f>
        <v/>
      </c>
    </row>
    <row r="20">
      <c r="A20" s="5" t="inlineStr">
        <is>
          <t>Folha e encargos</t>
        </is>
      </c>
      <c r="B20" s="27">
        <f>SUMIF('Lançamentos'!$E$2:$E$101,A20,'Lançamentos'!$I$2:$I$101)</f>
        <v/>
      </c>
      <c r="D20" s="8" t="inlineStr">
        <is>
          <t>05/2026</t>
        </is>
      </c>
      <c r="E20" s="27">
        <f>SUMIFS('Lançamentos'!$I$2:$I$101,'Lançamentos'!$C$2:$C$101,"Crédito",'Lançamentos'!$O$2:$O$101,D20)</f>
        <v/>
      </c>
      <c r="F20" s="27">
        <f>SUMIFS('Lançamentos'!$I$2:$I$101,'Lançamentos'!$C$2:$C$101,"Débito",'Lançamentos'!$O$2:$O$101,D20)</f>
        <v/>
      </c>
      <c r="G20" s="27">
        <f>E20-F20</f>
        <v/>
      </c>
    </row>
    <row r="21">
      <c r="A21" s="9" t="inlineStr">
        <is>
          <t>Transferências</t>
        </is>
      </c>
      <c r="B21" s="28">
        <f>SUMIF('Lançamentos'!$E$2:$E$101,A21,'Lançamentos'!$I$2:$I$101)</f>
        <v/>
      </c>
      <c r="D21" s="11" t="inlineStr">
        <is>
          <t>06/2026</t>
        </is>
      </c>
      <c r="E21" s="28">
        <f>SUMIFS('Lançamentos'!$I$2:$I$101,'Lançamentos'!$C$2:$C$101,"Crédito",'Lançamentos'!$O$2:$O$101,D21)</f>
        <v/>
      </c>
      <c r="F21" s="28">
        <f>SUMIFS('Lançamentos'!$I$2:$I$101,'Lançamentos'!$C$2:$C$101,"Débito",'Lançamentos'!$O$2:$O$101,D21)</f>
        <v/>
      </c>
      <c r="G21" s="28">
        <f>E21-F21</f>
        <v/>
      </c>
    </row>
    <row r="22">
      <c r="A22" s="5" t="inlineStr">
        <is>
          <t>Não classificado</t>
        </is>
      </c>
      <c r="B22" s="27">
        <f>SUMIF('Lançamentos'!$E$2:$E$101,A22,'Lançamentos'!$I$2:$I$101)</f>
        <v/>
      </c>
      <c r="D22" s="8" t="inlineStr">
        <is>
          <t>07/2026</t>
        </is>
      </c>
      <c r="E22" s="27">
        <f>SUMIFS('Lançamentos'!$I$2:$I$101,'Lançamentos'!$C$2:$C$101,"Crédito",'Lançamentos'!$O$2:$O$101,D22)</f>
        <v/>
      </c>
      <c r="F22" s="27">
        <f>SUMIFS('Lançamentos'!$I$2:$I$101,'Lançamentos'!$C$2:$C$101,"Débito",'Lançamentos'!$O$2:$O$101,D22)</f>
        <v/>
      </c>
      <c r="G22" s="27">
        <f>E22-F22</f>
        <v/>
      </c>
    </row>
    <row r="23">
      <c r="D23" s="11" t="inlineStr">
        <is>
          <t>08/2026</t>
        </is>
      </c>
      <c r="E23" s="28">
        <f>SUMIFS('Lançamentos'!$I$2:$I$101,'Lançamentos'!$C$2:$C$101,"Crédito",'Lançamentos'!$O$2:$O$101,D23)</f>
        <v/>
      </c>
      <c r="F23" s="28">
        <f>SUMIFS('Lançamentos'!$I$2:$I$101,'Lançamentos'!$C$2:$C$101,"Débito",'Lançamentos'!$O$2:$O$101,D23)</f>
        <v/>
      </c>
      <c r="G23" s="28">
        <f>E23-F23</f>
        <v/>
      </c>
    </row>
    <row r="24">
      <c r="D24" s="8" t="inlineStr">
        <is>
          <t>09/2026</t>
        </is>
      </c>
      <c r="E24" s="27">
        <f>SUMIFS('Lançamentos'!$I$2:$I$101,'Lançamentos'!$C$2:$C$101,"Crédito",'Lançamentos'!$O$2:$O$101,D24)</f>
        <v/>
      </c>
      <c r="F24" s="27">
        <f>SUMIFS('Lançamentos'!$I$2:$I$101,'Lançamentos'!$C$2:$C$101,"Débito",'Lançamentos'!$O$2:$O$101,D24)</f>
        <v/>
      </c>
      <c r="G24" s="27">
        <f>E24-F24</f>
        <v/>
      </c>
    </row>
    <row r="25">
      <c r="D25" s="11" t="inlineStr">
        <is>
          <t>10/2026</t>
        </is>
      </c>
      <c r="E25" s="28">
        <f>SUMIFS('Lançamentos'!$I$2:$I$101,'Lançamentos'!$C$2:$C$101,"Crédito",'Lançamentos'!$O$2:$O$101,D25)</f>
        <v/>
      </c>
      <c r="F25" s="28">
        <f>SUMIFS('Lançamentos'!$I$2:$I$101,'Lançamentos'!$C$2:$C$101,"Débito",'Lançamentos'!$O$2:$O$101,D25)</f>
        <v/>
      </c>
      <c r="G25" s="28">
        <f>E25-F25</f>
        <v/>
      </c>
    </row>
    <row r="26">
      <c r="D26" s="8" t="inlineStr">
        <is>
          <t>11/2026</t>
        </is>
      </c>
      <c r="E26" s="27">
        <f>SUMIFS('Lançamentos'!$I$2:$I$101,'Lançamentos'!$C$2:$C$101,"Crédito",'Lançamentos'!$O$2:$O$101,D26)</f>
        <v/>
      </c>
      <c r="F26" s="27">
        <f>SUMIFS('Lançamentos'!$I$2:$I$101,'Lançamentos'!$C$2:$C$101,"Débito",'Lançamentos'!$O$2:$O$101,D26)</f>
        <v/>
      </c>
      <c r="G26" s="27">
        <f>E26-F26</f>
        <v/>
      </c>
    </row>
    <row r="27">
      <c r="D27" s="11" t="inlineStr">
        <is>
          <t>12/2026</t>
        </is>
      </c>
      <c r="E27" s="28">
        <f>SUMIFS('Lançamentos'!$I$2:$I$101,'Lançamentos'!$C$2:$C$101,"Crédito",'Lançamentos'!$O$2:$O$101,D27)</f>
        <v/>
      </c>
      <c r="F27" s="28">
        <f>SUMIFS('Lançamentos'!$I$2:$I$101,'Lançamentos'!$C$2:$C$101,"Débito",'Lançamentos'!$O$2:$O$101,D27)</f>
        <v/>
      </c>
      <c r="G27" s="28">
        <f>E27-F27</f>
        <v/>
      </c>
    </row>
  </sheetData>
  <conditionalFormatting sqref="B6">
    <cfRule type="cellIs" priority="1" operator="greaterThan" dxfId="3">
      <formula>0</formula>
    </cfRule>
  </conditionalFormatting>
  <conditionalFormatting sqref="B10">
    <cfRule type="expression" priority="2" dxfId="1">
      <formula>ABS(B10)&gt;0.01</formula>
    </cfRule>
  </conditionalFormatting>
  <conditionalFormatting sqref="H3:H5">
    <cfRule type="cellIs" priority="3" operator="greaterThan" dxfId="3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6B6D4"/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4" customWidth="1" min="3" max="3"/>
    <col width="31" customWidth="1" min="4" max="4"/>
    <col width="4" customWidth="1" min="5" max="5"/>
    <col width="16" customWidth="1" min="6" max="6"/>
    <col width="4" customWidth="1" min="7" max="7"/>
    <col width="18" customWidth="1" min="8" max="8"/>
  </cols>
  <sheetData>
    <row r="1">
      <c r="A1" s="1" t="inlineStr">
        <is>
          <t>Descrição padrão</t>
        </is>
      </c>
      <c r="B1" s="1" t="inlineStr">
        <is>
          <t>Categoria automática</t>
        </is>
      </c>
      <c r="D1" s="1" t="inlineStr">
        <is>
          <t>Contas bancárias</t>
        </is>
      </c>
      <c r="F1" s="1" t="inlineStr">
        <is>
          <t>Tipos permitidos</t>
        </is>
      </c>
      <c r="H1" s="1" t="inlineStr">
        <is>
          <t>Status permitidos</t>
        </is>
      </c>
    </row>
    <row r="2">
      <c r="A2" s="5" t="inlineStr">
        <is>
          <t>Recebimento de cliente</t>
        </is>
      </c>
      <c r="B2" s="5" t="inlineStr">
        <is>
          <t>Receitas</t>
        </is>
      </c>
      <c r="D2" s="4" t="inlineStr">
        <is>
          <t>Conta Corrente - Banco Alfa</t>
        </is>
      </c>
      <c r="F2" s="2" t="inlineStr">
        <is>
          <t>Crédito</t>
        </is>
      </c>
      <c r="H2" s="2" t="inlineStr">
        <is>
          <t>Conciliado</t>
        </is>
      </c>
    </row>
    <row r="3">
      <c r="A3" s="9" t="inlineStr">
        <is>
          <t>Pagamento de fornecedor</t>
        </is>
      </c>
      <c r="B3" s="9" t="inlineStr">
        <is>
          <t>Fornecedores</t>
        </is>
      </c>
      <c r="D3" s="4" t="inlineStr">
        <is>
          <t>Conta Movimento - Banco Beta</t>
        </is>
      </c>
      <c r="F3" s="2" t="inlineStr">
        <is>
          <t>Débito</t>
        </is>
      </c>
      <c r="H3" s="2" t="inlineStr">
        <is>
          <t>Pendente</t>
        </is>
      </c>
    </row>
    <row r="4">
      <c r="A4" s="5" t="inlineStr">
        <is>
          <t>Tarifa bancária</t>
        </is>
      </c>
      <c r="B4" s="5" t="inlineStr">
        <is>
          <t>Despesas bancárias</t>
        </is>
      </c>
      <c r="D4" s="4" t="inlineStr">
        <is>
          <t>Conta Aplicação - Banco Alfa</t>
        </is>
      </c>
      <c r="H4" s="2" t="inlineStr">
        <is>
          <t>Divergente</t>
        </is>
      </c>
    </row>
    <row r="5">
      <c r="A5" s="9" t="inlineStr">
        <is>
          <t>DAS/Simples Nacional</t>
        </is>
      </c>
      <c r="B5" s="9" t="inlineStr">
        <is>
          <t>Impostos</t>
        </is>
      </c>
      <c r="D5" s="4" t="inlineStr">
        <is>
          <t>Caixa Corporativo</t>
        </is>
      </c>
    </row>
    <row r="6">
      <c r="A6" s="5" t="inlineStr">
        <is>
          <t>ISS/ICMS</t>
        </is>
      </c>
      <c r="B6" s="5" t="inlineStr">
        <is>
          <t>Impostos</t>
        </is>
      </c>
    </row>
    <row r="7">
      <c r="A7" s="9" t="inlineStr">
        <is>
          <t>INSS/FGTS</t>
        </is>
      </c>
      <c r="B7" s="9" t="inlineStr">
        <is>
          <t>Folha e encargos</t>
        </is>
      </c>
    </row>
    <row r="8">
      <c r="A8" s="5" t="inlineStr">
        <is>
          <t>Transferência entre contas</t>
        </is>
      </c>
      <c r="B8" s="5" t="inlineStr">
        <is>
          <t>Transferências</t>
        </is>
      </c>
    </row>
    <row r="9">
      <c r="A9" s="9" t="inlineStr">
        <is>
          <t>Outros</t>
        </is>
      </c>
      <c r="B9" s="9" t="inlineStr">
        <is>
          <t>Não classificado</t>
        </is>
      </c>
    </row>
    <row r="10"/>
    <row r="11">
      <c r="A11" s="15" t="inlineStr">
        <is>
          <t>Orientação rápida</t>
        </is>
      </c>
    </row>
    <row r="12" ht="42" customHeight="1">
      <c r="A12" s="20" t="inlineStr">
        <is>
          <t>Edite as listas de apoio conforme a estrutura financeira da empresa. Mantenha as descrições padronizadas para preservar a classificação automática.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11827"/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30" customHeight="1">
      <c r="A1" s="12" t="inlineStr">
        <is>
          <t>Guia operacional | Conciliação bancária</t>
        </is>
      </c>
      <c r="B1" s="13" t="n"/>
    </row>
    <row r="2"/>
    <row r="3">
      <c r="A3" s="14" t="inlineStr">
        <is>
          <t>Aba</t>
        </is>
      </c>
      <c r="B3" s="14" t="inlineStr">
        <is>
          <t>Procedimento recomendado</t>
        </is>
      </c>
    </row>
    <row r="4" ht="42" customHeight="1">
      <c r="A4" s="21" t="inlineStr">
        <is>
          <t>Lançamentos</t>
        </is>
      </c>
      <c r="B4" s="22" t="inlineStr">
        <is>
          <t>Registre uma movimentação por linha. Preencha Valor do extrato e Data do extrato somente após localizar a movimentação correspondente no extrato bancário.</t>
        </is>
      </c>
    </row>
    <row r="5" ht="42" customHeight="1">
      <c r="A5" s="23" t="inlineStr">
        <is>
          <t>Lançamentos</t>
        </is>
      </c>
      <c r="B5" s="24" t="inlineStr">
        <is>
          <t>Categoria, Diferença, Status da conciliação e Mês/Ano são calculados automaticamente. Não substitua essas fórmulas nas linhas preparadas.</t>
        </is>
      </c>
    </row>
    <row r="6" ht="42" customHeight="1">
      <c r="A6" s="21" t="inlineStr">
        <is>
          <t>Lançamentos</t>
        </is>
      </c>
      <c r="B6" s="22" t="inlineStr">
        <is>
          <t>Pendente indica ausência de valor do extrato. Divergente indica diferença superior a R$ 0,01 entre o valor interno e o valor do extrato.</t>
        </is>
      </c>
    </row>
    <row r="7" ht="42" customHeight="1">
      <c r="A7" s="23" t="inlineStr">
        <is>
          <t>Resumo</t>
        </is>
      </c>
      <c r="B7" s="24" t="inlineStr">
        <is>
          <t>Acompanhe os indicadores, alertas de auditoria, totais por categoria e comportamento mensal. Os gráficos utilizam a faixa operacional de 100 linhas.</t>
        </is>
      </c>
    </row>
    <row r="8" ht="42" customHeight="1">
      <c r="A8" s="21" t="inlineStr">
        <is>
          <t>Auxiliar</t>
        </is>
      </c>
      <c r="B8" s="22" t="inlineStr">
        <is>
          <t>Atualize descrições padronizadas, categorias, contas, tipos e status quando necessário. A classificação automática usa a tabela de apoio da própria aba.</t>
        </is>
      </c>
    </row>
    <row r="9" ht="42" customHeight="1">
      <c r="A9" s="23" t="inlineStr">
        <is>
          <t>Controle</t>
        </is>
      </c>
      <c r="B9" s="24" t="inlineStr">
        <is>
          <t>Conclua a análise de divergências com base em documentos, comprovantes e extratos. Este arquivo apoia a conferência e não substitui validações contábeis.</t>
        </is>
      </c>
    </row>
    <row r="10"/>
    <row r="11"/>
    <row r="12" ht="35" customHeight="1">
      <c r="A12" s="15" t="inlineStr">
        <is>
          <t>Campos de entrada</t>
        </is>
      </c>
      <c r="B12" s="24" t="inlineStr">
        <is>
          <t>As células amarelas representam campos editáveis. As células sem preenchimento amarelo possuem fórmulas ou consolidações analíticas.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2026-09-08T20:49:13Z</dcterms:created>
  <dcterms:modified xmlns:dcterms="http://purl.org/dc/terms/" xmlns:xsi="http://www.w3.org/2001/XMLSchema-instance" xsi:type="dcterms:W3CDTF">2026-09-08T20:49:13Z</dcterms:modified>
</cp:coreProperties>
</file>