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ras" sheetId="1" state="visible" r:id="rId1"/>
    <sheet xmlns:r="http://schemas.openxmlformats.org/officeDocument/2006/relationships" name="Cadastro" sheetId="2" state="visible" r:id="rId2"/>
    <sheet xmlns:r="http://schemas.openxmlformats.org/officeDocument/2006/relationships" name="Resumo" sheetId="3" state="visible" r:id="rId3"/>
    <sheet xmlns:r="http://schemas.openxmlformats.org/officeDocument/2006/relationships" name="Instruções" sheetId="4" state="visible" r:id="rId4"/>
  </sheets>
  <definedNames>
    <definedName name="_xlnm._FilterDatabase" localSheetId="0" hidden="1">'Compras'!$A$1:$V$10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&quot;R$&quot; #,##0.00"/>
  </numFmts>
  <fonts count="10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color rgb="00C8102E"/>
      <sz val="14"/>
    </font>
    <font>
      <b val="1"/>
      <color rgb="00C8102E"/>
      <sz val="16"/>
    </font>
    <font>
      <b val="1"/>
      <color rgb="0016A34A"/>
      <sz val="12"/>
    </font>
    <font>
      <b val="1"/>
      <color rgb="001E293B"/>
      <sz val="12"/>
    </font>
    <font>
      <b val="1"/>
      <color rgb="00B45309"/>
      <sz val="12"/>
    </font>
    <font>
      <b val="1"/>
      <color rgb="00DC2626"/>
      <sz val="12"/>
    </font>
    <font>
      <b val="1"/>
      <color rgb="001E293B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E2E8F0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right" vertical="center"/>
    </xf>
    <xf numFmtId="10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left" vertical="center"/>
    </xf>
    <xf numFmtId="165" fontId="0" fillId="0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right" vertical="center"/>
    </xf>
    <xf numFmtId="165" fontId="2" fillId="5" borderId="1" applyAlignment="1" pivotButton="0" quotePrefix="0" xfId="0">
      <alignment horizontal="right" vertical="center"/>
    </xf>
    <xf numFmtId="0" fontId="0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3" fillId="0" borderId="0" pivotButton="0" quotePrefix="0" xfId="0"/>
    <xf numFmtId="0" fontId="1" fillId="6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2" fillId="3" borderId="1" pivotButton="0" quotePrefix="0" xfId="0"/>
    <xf numFmtId="165" fontId="5" fillId="0" borderId="1" applyAlignment="1" pivotButton="0" quotePrefix="0" xfId="0">
      <alignment horizontal="right" vertical="center"/>
    </xf>
    <xf numFmtId="165" fontId="6" fillId="0" borderId="1" applyAlignment="1" pivotButton="0" quotePrefix="0" xfId="0">
      <alignment horizontal="right" vertical="center"/>
    </xf>
    <xf numFmtId="1" fontId="6" fillId="0" borderId="1" applyAlignment="1" pivotButton="0" quotePrefix="0" xfId="0">
      <alignment horizontal="right" vertical="center"/>
    </xf>
    <xf numFmtId="1" fontId="5" fillId="0" borderId="1" applyAlignment="1" pivotButton="0" quotePrefix="0" xfId="0">
      <alignment horizontal="right" vertical="center"/>
    </xf>
    <xf numFmtId="1" fontId="7" fillId="0" borderId="1" applyAlignment="1" pivotButton="0" quotePrefix="0" xfId="0">
      <alignment horizontal="right" vertical="center"/>
    </xf>
    <xf numFmtId="10" fontId="5" fillId="0" borderId="1" applyAlignment="1" pivotButton="0" quotePrefix="0" xfId="0">
      <alignment horizontal="right" vertical="center"/>
    </xf>
    <xf numFmtId="165" fontId="8" fillId="0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0" borderId="1" applyAlignment="1" pivotButton="0" quotePrefix="0" xfId="0">
      <alignment horizontal="right" vertical="center"/>
    </xf>
    <xf numFmtId="0" fontId="0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164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165" fontId="0" fillId="0" borderId="1" applyAlignment="1" pivotButton="0" quotePrefix="0" xfId="0">
      <alignment horizontal="right" vertical="center"/>
    </xf>
    <xf numFmtId="165" fontId="2" fillId="5" borderId="1" applyAlignment="1" pivotButton="0" quotePrefix="0" xfId="0">
      <alignment horizontal="right" vertical="center"/>
    </xf>
    <xf numFmtId="165" fontId="5" fillId="0" borderId="1" applyAlignment="1" pivotButton="0" quotePrefix="0" xfId="0">
      <alignment horizontal="right" vertical="center"/>
    </xf>
    <xf numFmtId="165" fontId="6" fillId="0" borderId="1" applyAlignment="1" pivotButton="0" quotePrefix="0" xfId="0">
      <alignment horizontal="right" vertical="center"/>
    </xf>
    <xf numFmtId="165" fontId="8" fillId="0" borderId="1" applyAlignment="1" pivotButton="0" quotePrefix="0" xfId="0">
      <alignment horizontal="right" vertical="center"/>
    </xf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B45309"/>
      </font>
      <fill>
        <patternFill patternType="solid">
          <fgColor rgb="00FEF3C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Comprado por Categoria (R$)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'Resumo'!E4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'Resumo'!$D$5:$D$11</f>
            </numRef>
          </cat>
          <val>
            <numRef>
              <f>'Resumo'!$E$5:$E$11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das Compras por Status</a:t>
            </a:r>
          </a:p>
        </rich>
      </tx>
    </title>
    <plotArea>
      <pieChart>
        <varyColors val="1"/>
        <ser>
          <idx val="0"/>
          <order val="0"/>
          <tx>
            <strRef>
              <f>'Resumo'!E14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'Resumo'!$D$15:$D$19</f>
            </numRef>
          </cat>
          <val>
            <numRef>
              <f>'Resumo'!$E$15:$E$19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Mensal do Valor das Compras (R$)</a:t>
            </a:r>
          </a:p>
        </rich>
      </tx>
    </title>
    <plotArea>
      <lineChart>
        <grouping val="standard"/>
        <ser>
          <idx val="0"/>
          <order val="0"/>
          <tx>
            <strRef>
              <f>'Resumo'!H14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'Resumo'!$G$15:$G$18</f>
            </numRef>
          </cat>
          <val>
            <numRef>
              <f>'Resumo'!$H$15:$H$18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12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3</row>
      <rowOff>0</rowOff>
    </from>
    <ext cx="36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9</col>
      <colOff>0</colOff>
      <row>19</row>
      <rowOff>0</rowOff>
    </from>
    <ext cx="36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13" customWidth="1" min="2" max="2"/>
    <col width="13" customWidth="1" min="3" max="3"/>
    <col width="13" customWidth="1" min="4" max="4"/>
    <col width="24" customWidth="1" min="5" max="5"/>
    <col width="16" customWidth="1" min="6" max="6"/>
    <col width="24" customWidth="1" min="7" max="7"/>
    <col width="20" customWidth="1" min="8" max="8"/>
    <col width="18" customWidth="1" min="9" max="9"/>
    <col width="11" customWidth="1" min="10" max="10"/>
    <col width="11" customWidth="1" min="11" max="11"/>
    <col width="10" customWidth="1" min="12" max="12"/>
    <col width="14" customWidth="1" min="13" max="13"/>
    <col width="11" customWidth="1" min="14" max="14"/>
    <col width="14" customWidth="1" min="15" max="15"/>
    <col width="13" customWidth="1" min="16" max="16"/>
    <col width="11" customWidth="1" min="17" max="17"/>
    <col width="13" customWidth="1" min="18" max="18"/>
    <col width="16" customWidth="1" min="19" max="19"/>
    <col width="12" customWidth="1" min="20" max="20"/>
    <col width="15" customWidth="1" min="21" max="21"/>
    <col width="24" customWidth="1" min="22" max="22"/>
  </cols>
  <sheetData>
    <row r="1" ht="32" customHeight="1">
      <c r="A1" s="1" t="inlineStr">
        <is>
          <t>ID Compra</t>
        </is>
      </c>
      <c r="B1" s="1" t="inlineStr">
        <is>
          <t>Data da Solicitação</t>
        </is>
      </c>
      <c r="C1" s="1" t="inlineStr">
        <is>
          <t>Data Prevista de Entrega</t>
        </is>
      </c>
      <c r="D1" s="1" t="inlineStr">
        <is>
          <t>Data de Recebimento</t>
        </is>
      </c>
      <c r="E1" s="1" t="inlineStr">
        <is>
          <t>Material</t>
        </is>
      </c>
      <c r="F1" s="1" t="inlineStr">
        <is>
          <t>Categoria</t>
        </is>
      </c>
      <c r="G1" s="1" t="inlineStr">
        <is>
          <t>Fornecedor</t>
        </is>
      </c>
      <c r="H1" s="1" t="inlineStr">
        <is>
          <t>CNPJ</t>
        </is>
      </c>
      <c r="I1" s="1" t="inlineStr">
        <is>
          <t>Cidade/UF</t>
        </is>
      </c>
      <c r="J1" s="1" t="inlineStr">
        <is>
          <t>Nº NF-e</t>
        </is>
      </c>
      <c r="K1" s="1" t="inlineStr">
        <is>
          <t>Quantidade</t>
        </is>
      </c>
      <c r="L1" s="1" t="inlineStr">
        <is>
          <t>Unidade</t>
        </is>
      </c>
      <c r="M1" s="1" t="inlineStr">
        <is>
          <t>Preço Unitário (R$)</t>
        </is>
      </c>
      <c r="N1" s="1" t="inlineStr">
        <is>
          <t>Desconto (%)</t>
        </is>
      </c>
      <c r="O1" s="1" t="inlineStr">
        <is>
          <t>Subtotal (R$)</t>
        </is>
      </c>
      <c r="P1" s="1" t="inlineStr">
        <is>
          <t>Desconto (R$)</t>
        </is>
      </c>
      <c r="Q1" s="1" t="inlineStr">
        <is>
          <t>Frete (R$)</t>
        </is>
      </c>
      <c r="R1" s="1" t="inlineStr">
        <is>
          <t>Impostos (R$)</t>
        </is>
      </c>
      <c r="S1" s="1" t="inlineStr">
        <is>
          <t>Total da Compra (R$)</t>
        </is>
      </c>
      <c r="T1" s="1" t="inlineStr">
        <is>
          <t>Status</t>
        </is>
      </c>
      <c r="U1" s="1" t="inlineStr">
        <is>
          <t>Responsável</t>
        </is>
      </c>
      <c r="V1" s="1" t="inlineStr">
        <is>
          <t>Observações</t>
        </is>
      </c>
    </row>
    <row r="2">
      <c r="A2" s="2" t="inlineStr">
        <is>
          <t>CMP-001</t>
        </is>
      </c>
      <c r="B2" s="32" t="n">
        <v>46027</v>
      </c>
      <c r="C2" s="32" t="n">
        <v>46034</v>
      </c>
      <c r="D2" s="32" t="n">
        <v>46033</v>
      </c>
      <c r="E2" s="2" t="inlineStr">
        <is>
          <t>Cimento CP-II</t>
        </is>
      </c>
      <c r="F2" s="4">
        <f>IFERROR(VLOOKUP(E2,Cadastro!$A$2:$G$20,3,FALSE),"Não cadastrado")</f>
        <v/>
      </c>
      <c r="G2" s="2" t="inlineStr">
        <is>
          <t>Construmais Materiais</t>
        </is>
      </c>
      <c r="H2" s="2" t="inlineStr">
        <is>
          <t>12.345.678/0001-01</t>
        </is>
      </c>
      <c r="I2" s="2" t="inlineStr">
        <is>
          <t>São Paulo/SP</t>
        </is>
      </c>
      <c r="J2" s="2" t="inlineStr">
        <is>
          <t>NF-10234</t>
        </is>
      </c>
      <c r="K2" s="5" t="n">
        <v>120</v>
      </c>
      <c r="L2" s="4">
        <f>IFERROR(VLOOKUP(E2,Cadastro!$A$2:$G$20,4,FALSE),"")</f>
        <v/>
      </c>
      <c r="M2" s="33">
        <f>IFERROR(VLOOKUP(E2,Cadastro!$A$2:$G$20,6,FALSE),38.5)</f>
        <v/>
      </c>
      <c r="N2" s="7" t="n">
        <v>0.05</v>
      </c>
      <c r="O2" s="33">
        <f>K2*M2</f>
        <v/>
      </c>
      <c r="P2" s="33">
        <f>O2*N2</f>
        <v/>
      </c>
      <c r="Q2" s="34" t="n">
        <v>180</v>
      </c>
      <c r="R2" s="34" t="n">
        <v>462</v>
      </c>
      <c r="S2" s="33">
        <f>O2-P2+Q2+R2</f>
        <v/>
      </c>
      <c r="T2" s="2" t="inlineStr">
        <is>
          <t>Recebido</t>
        </is>
      </c>
      <c r="U2" s="2" t="inlineStr">
        <is>
          <t>João Silva</t>
        </is>
      </c>
      <c r="V2" s="2" t="inlineStr">
        <is>
          <t>Entrega antecipada</t>
        </is>
      </c>
    </row>
    <row r="3">
      <c r="A3" s="2" t="inlineStr">
        <is>
          <t>CMP-002</t>
        </is>
      </c>
      <c r="B3" s="32" t="n">
        <v>46034</v>
      </c>
      <c r="C3" s="32" t="n">
        <v>46042</v>
      </c>
      <c r="D3" s="32" t="n">
        <v>46042</v>
      </c>
      <c r="E3" s="2" t="inlineStr">
        <is>
          <t>Tubos PVC 100 mm</t>
        </is>
      </c>
      <c r="F3" s="9">
        <f>IFERROR(VLOOKUP(E3,Cadastro!$A$2:$G$20,3,FALSE),"Não cadastrado")</f>
        <v/>
      </c>
      <c r="G3" s="2" t="inlineStr">
        <is>
          <t>Hidrocenter</t>
        </is>
      </c>
      <c r="H3" s="2" t="inlineStr">
        <is>
          <t>23.456.789/0001-02</t>
        </is>
      </c>
      <c r="I3" s="2" t="inlineStr">
        <is>
          <t>Campinas/SP</t>
        </is>
      </c>
      <c r="J3" s="2" t="inlineStr">
        <is>
          <t>NF-20567</t>
        </is>
      </c>
      <c r="K3" s="5" t="n">
        <v>80</v>
      </c>
      <c r="L3" s="9">
        <f>IFERROR(VLOOKUP(E3,Cadastro!$A$2:$G$20,4,FALSE),"")</f>
        <v/>
      </c>
      <c r="M3" s="35">
        <f>IFERROR(VLOOKUP(E3,Cadastro!$A$2:$G$20,6,FALSE),42.9)</f>
        <v/>
      </c>
      <c r="N3" s="7" t="n">
        <v>0</v>
      </c>
      <c r="O3" s="35">
        <f>K3*M3</f>
        <v/>
      </c>
      <c r="P3" s="35">
        <f>O3*N3</f>
        <v/>
      </c>
      <c r="Q3" s="34" t="n">
        <v>120</v>
      </c>
      <c r="R3" s="34" t="n">
        <v>240.1</v>
      </c>
      <c r="S3" s="35">
        <f>O3-P3+Q3+R3</f>
        <v/>
      </c>
      <c r="T3" s="2" t="inlineStr">
        <is>
          <t>Recebido</t>
        </is>
      </c>
      <c r="U3" s="2" t="inlineStr">
        <is>
          <t>Maria Oliveira</t>
        </is>
      </c>
      <c r="V3" s="2" t="inlineStr"/>
    </row>
    <row r="4">
      <c r="A4" s="2" t="inlineStr">
        <is>
          <t>CMP-003</t>
        </is>
      </c>
      <c r="B4" s="32" t="n">
        <v>46050</v>
      </c>
      <c r="C4" s="32" t="n">
        <v>46058</v>
      </c>
      <c r="D4" s="32" t="n">
        <v>46057</v>
      </c>
      <c r="E4" s="2" t="inlineStr">
        <is>
          <t>Tinta acrílica branca</t>
        </is>
      </c>
      <c r="F4" s="4">
        <f>IFERROR(VLOOKUP(E4,Cadastro!$A$2:$G$20,3,FALSE),"Não cadastrado")</f>
        <v/>
      </c>
      <c r="G4" s="2" t="inlineStr">
        <is>
          <t>Tintas Brasil</t>
        </is>
      </c>
      <c r="H4" s="2" t="inlineStr">
        <is>
          <t>34.567.890/0001-03</t>
        </is>
      </c>
      <c r="I4" s="2" t="inlineStr">
        <is>
          <t>Belo Horizonte/MG</t>
        </is>
      </c>
      <c r="J4" s="2" t="inlineStr">
        <is>
          <t>NF-30112</t>
        </is>
      </c>
      <c r="K4" s="5" t="n">
        <v>24</v>
      </c>
      <c r="L4" s="4">
        <f>IFERROR(VLOOKUP(E4,Cadastro!$A$2:$G$20,4,FALSE),"")</f>
        <v/>
      </c>
      <c r="M4" s="33">
        <f>IFERROR(VLOOKUP(E4,Cadastro!$A$2:$G$20,6,FALSE),189.9)</f>
        <v/>
      </c>
      <c r="N4" s="7" t="n">
        <v>0.1</v>
      </c>
      <c r="O4" s="33">
        <f>K4*M4</f>
        <v/>
      </c>
      <c r="P4" s="33">
        <f>O4*N4</f>
        <v/>
      </c>
      <c r="Q4" s="34" t="n">
        <v>95</v>
      </c>
      <c r="R4" s="34" t="n">
        <v>319.9</v>
      </c>
      <c r="S4" s="33">
        <f>O4-P4+Q4+R4</f>
        <v/>
      </c>
      <c r="T4" s="2" t="inlineStr">
        <is>
          <t>Recebido</t>
        </is>
      </c>
      <c r="U4" s="2" t="inlineStr">
        <is>
          <t>Pedro Santos</t>
        </is>
      </c>
      <c r="V4" s="2" t="inlineStr">
        <is>
          <t>Desconto por volume</t>
        </is>
      </c>
    </row>
    <row r="5">
      <c r="A5" s="2" t="inlineStr">
        <is>
          <t>CMP-004</t>
        </is>
      </c>
      <c r="B5" s="32" t="n">
        <v>46063</v>
      </c>
      <c r="C5" s="32" t="n">
        <v>46073</v>
      </c>
      <c r="D5" s="5" t="n"/>
      <c r="E5" s="2" t="inlineStr">
        <is>
          <t>Cabos elétricos 2,5 mm</t>
        </is>
      </c>
      <c r="F5" s="9">
        <f>IFERROR(VLOOKUP(E5,Cadastro!$A$2:$G$20,3,FALSE),"Não cadastrado")</f>
        <v/>
      </c>
      <c r="G5" s="2" t="inlineStr">
        <is>
          <t>EletroFort</t>
        </is>
      </c>
      <c r="H5" s="2" t="inlineStr">
        <is>
          <t>45.678.901/0001-04</t>
        </is>
      </c>
      <c r="I5" s="2" t="inlineStr">
        <is>
          <t>Fortaleza/CE</t>
        </is>
      </c>
      <c r="J5" s="2" t="inlineStr">
        <is>
          <t>NF-40890</t>
        </is>
      </c>
      <c r="K5" s="5" t="n">
        <v>15</v>
      </c>
      <c r="L5" s="9">
        <f>IFERROR(VLOOKUP(E5,Cadastro!$A$2:$G$20,4,FALSE),"")</f>
        <v/>
      </c>
      <c r="M5" s="35">
        <f>IFERROR(VLOOKUP(E5,Cadastro!$A$2:$G$20,6,FALSE),329.0)</f>
        <v/>
      </c>
      <c r="N5" s="7" t="n">
        <v>0.03</v>
      </c>
      <c r="O5" s="35">
        <f>K5*M5</f>
        <v/>
      </c>
      <c r="P5" s="35">
        <f>O5*N5</f>
        <v/>
      </c>
      <c r="Q5" s="34" t="n">
        <v>210</v>
      </c>
      <c r="R5" s="34" t="n">
        <v>394</v>
      </c>
      <c r="S5" s="35">
        <f>O5-P5+Q5+R5</f>
        <v/>
      </c>
      <c r="T5" s="2" t="inlineStr">
        <is>
          <t>Aprovada</t>
        </is>
      </c>
      <c r="U5" s="2" t="inlineStr">
        <is>
          <t>Ana Souza</t>
        </is>
      </c>
      <c r="V5" s="2" t="inlineStr">
        <is>
          <t>Aguardando emissão</t>
        </is>
      </c>
    </row>
    <row r="6">
      <c r="A6" s="2" t="inlineStr">
        <is>
          <t>CMP-005</t>
        </is>
      </c>
      <c r="B6" s="32" t="n">
        <v>46072</v>
      </c>
      <c r="C6" s="32" t="n">
        <v>46081</v>
      </c>
      <c r="D6" s="5" t="n"/>
      <c r="E6" s="2" t="inlineStr">
        <is>
          <t>Parafusos sextavados</t>
        </is>
      </c>
      <c r="F6" s="4">
        <f>IFERROR(VLOOKUP(E6,Cadastro!$A$2:$G$20,3,FALSE),"Não cadastrado")</f>
        <v/>
      </c>
      <c r="G6" s="2" t="inlineStr">
        <is>
          <t>Ferragens Curitiba</t>
        </is>
      </c>
      <c r="H6" s="2" t="inlineStr">
        <is>
          <t>56.789.012/0001-05</t>
        </is>
      </c>
      <c r="I6" s="2" t="inlineStr">
        <is>
          <t>Curitiba/PR</t>
        </is>
      </c>
      <c r="J6" s="2" t="inlineStr">
        <is>
          <t>NF-50234</t>
        </is>
      </c>
      <c r="K6" s="5" t="n">
        <v>1500</v>
      </c>
      <c r="L6" s="4">
        <f>IFERROR(VLOOKUP(E6,Cadastro!$A$2:$G$20,4,FALSE),"")</f>
        <v/>
      </c>
      <c r="M6" s="33">
        <f>IFERROR(VLOOKUP(E6,Cadastro!$A$2:$G$20,6,FALSE),0.85)</f>
        <v/>
      </c>
      <c r="N6" s="7" t="n">
        <v>0</v>
      </c>
      <c r="O6" s="33">
        <f>K6*M6</f>
        <v/>
      </c>
      <c r="P6" s="33">
        <f>O6*N6</f>
        <v/>
      </c>
      <c r="Q6" s="34" t="n">
        <v>85</v>
      </c>
      <c r="R6" s="34" t="n">
        <v>102</v>
      </c>
      <c r="S6" s="33">
        <f>O6-P6+Q6+R6</f>
        <v/>
      </c>
      <c r="T6" s="2" t="inlineStr">
        <is>
          <t>Em trânsito</t>
        </is>
      </c>
      <c r="U6" s="2" t="inlineStr">
        <is>
          <t>João Silva</t>
        </is>
      </c>
      <c r="V6" s="2" t="inlineStr">
        <is>
          <t>Rastreio BR-7788</t>
        </is>
      </c>
    </row>
    <row r="7">
      <c r="A7" s="2" t="inlineStr">
        <is>
          <t>CMP-006</t>
        </is>
      </c>
      <c r="B7" s="32" t="n">
        <v>46084</v>
      </c>
      <c r="C7" s="32" t="n">
        <v>46093</v>
      </c>
      <c r="D7" s="5" t="n"/>
      <c r="E7" s="2" t="inlineStr">
        <is>
          <t>Argamassa AC-II</t>
        </is>
      </c>
      <c r="F7" s="9">
        <f>IFERROR(VLOOKUP(E7,Cadastro!$A$2:$G$20,3,FALSE),"Não cadastrado")</f>
        <v/>
      </c>
      <c r="G7" s="2" t="inlineStr">
        <is>
          <t>Casa do Pedreiro</t>
        </is>
      </c>
      <c r="H7" s="2" t="inlineStr">
        <is>
          <t>67.890.123/0001-06</t>
        </is>
      </c>
      <c r="I7" s="2" t="inlineStr">
        <is>
          <t>Rio de Janeiro/RJ</t>
        </is>
      </c>
      <c r="J7" s="2" t="inlineStr"/>
      <c r="K7" s="5" t="n">
        <v>200</v>
      </c>
      <c r="L7" s="9">
        <f>IFERROR(VLOOKUP(E7,Cadastro!$A$2:$G$20,4,FALSE),"")</f>
        <v/>
      </c>
      <c r="M7" s="35">
        <f>IFERROR(VLOOKUP(E7,Cadastro!$A$2:$G$20,6,FALSE),29.75)</f>
        <v/>
      </c>
      <c r="N7" s="7" t="n">
        <v>0.02</v>
      </c>
      <c r="O7" s="35">
        <f>K7*M7</f>
        <v/>
      </c>
      <c r="P7" s="35">
        <f>O7*N7</f>
        <v/>
      </c>
      <c r="Q7" s="34" t="n">
        <v>150</v>
      </c>
      <c r="R7" s="34" t="n">
        <v>595</v>
      </c>
      <c r="S7" s="35">
        <f>O7-P7+Q7+R7</f>
        <v/>
      </c>
      <c r="T7" s="2" t="inlineStr">
        <is>
          <t>Pendente</t>
        </is>
      </c>
      <c r="U7" s="2" t="inlineStr">
        <is>
          <t>Maria Oliveira</t>
        </is>
      </c>
      <c r="V7" s="2" t="inlineStr">
        <is>
          <t>Cotação em análise</t>
        </is>
      </c>
    </row>
    <row r="8">
      <c r="A8" s="2" t="inlineStr">
        <is>
          <t>CMP-007</t>
        </is>
      </c>
      <c r="B8" s="32" t="n">
        <v>46099</v>
      </c>
      <c r="C8" s="32" t="n">
        <v>46108</v>
      </c>
      <c r="D8" s="5" t="n"/>
      <c r="E8" s="2" t="inlineStr">
        <is>
          <t>Luvas de segurança</t>
        </is>
      </c>
      <c r="F8" s="4">
        <f>IFERROR(VLOOKUP(E8,Cadastro!$A$2:$G$20,3,FALSE),"Não cadastrado")</f>
        <v/>
      </c>
      <c r="G8" s="2" t="inlineStr">
        <is>
          <t>Protege Equipamentos</t>
        </is>
      </c>
      <c r="H8" s="2" t="inlineStr">
        <is>
          <t>78.901.234/0001-07</t>
        </is>
      </c>
      <c r="I8" s="2" t="inlineStr">
        <is>
          <t>Recife/PE</t>
        </is>
      </c>
      <c r="J8" s="2" t="inlineStr">
        <is>
          <t>NF-70445</t>
        </is>
      </c>
      <c r="K8" s="5" t="n">
        <v>100</v>
      </c>
      <c r="L8" s="4">
        <f>IFERROR(VLOOKUP(E8,Cadastro!$A$2:$G$20,4,FALSE),"")</f>
        <v/>
      </c>
      <c r="M8" s="33">
        <f>IFERROR(VLOOKUP(E8,Cadastro!$A$2:$G$20,6,FALSE),18.4)</f>
        <v/>
      </c>
      <c r="N8" s="7" t="n">
        <v>0</v>
      </c>
      <c r="O8" s="33">
        <f>K8*M8</f>
        <v/>
      </c>
      <c r="P8" s="33">
        <f>O8*N8</f>
        <v/>
      </c>
      <c r="Q8" s="34" t="n">
        <v>60</v>
      </c>
      <c r="R8" s="34" t="n">
        <v>147.2</v>
      </c>
      <c r="S8" s="33">
        <f>O8-P8+Q8+R8</f>
        <v/>
      </c>
      <c r="T8" s="2" t="inlineStr">
        <is>
          <t>Aprovada</t>
        </is>
      </c>
      <c r="U8" s="2" t="inlineStr">
        <is>
          <t>Pedro Santos</t>
        </is>
      </c>
      <c r="V8" s="2" t="inlineStr">
        <is>
          <t>EPI obrigatório NR-6</t>
        </is>
      </c>
    </row>
    <row r="9">
      <c r="A9" s="2" t="inlineStr">
        <is>
          <t>CMP-008</t>
        </is>
      </c>
      <c r="B9" s="32" t="n">
        <v>46119</v>
      </c>
      <c r="C9" s="32" t="n">
        <v>46129</v>
      </c>
      <c r="D9" s="5" t="n"/>
      <c r="E9" s="2" t="inlineStr">
        <is>
          <t>Chapas de MDF</t>
        </is>
      </c>
      <c r="F9" s="9">
        <f>IFERROR(VLOOKUP(E9,Cadastro!$A$2:$G$20,3,FALSE),"Não cadastrado")</f>
        <v/>
      </c>
      <c r="G9" s="2" t="inlineStr">
        <is>
          <t>MadeiraSul</t>
        </is>
      </c>
      <c r="H9" s="2" t="inlineStr">
        <is>
          <t>89.012.345/0001-08</t>
        </is>
      </c>
      <c r="I9" s="2" t="inlineStr">
        <is>
          <t>Porto Alegre/RS</t>
        </is>
      </c>
      <c r="J9" s="2" t="inlineStr"/>
      <c r="K9" s="5" t="n">
        <v>35</v>
      </c>
      <c r="L9" s="9">
        <f>IFERROR(VLOOKUP(E9,Cadastro!$A$2:$G$20,4,FALSE),"")</f>
        <v/>
      </c>
      <c r="M9" s="35">
        <f>IFERROR(VLOOKUP(E9,Cadastro!$A$2:$G$20,6,FALSE),278.0)</f>
        <v/>
      </c>
      <c r="N9" s="7" t="n">
        <v>0.08</v>
      </c>
      <c r="O9" s="35">
        <f>K9*M9</f>
        <v/>
      </c>
      <c r="P9" s="35">
        <f>O9*N9</f>
        <v/>
      </c>
      <c r="Q9" s="34" t="n">
        <v>190</v>
      </c>
      <c r="R9" s="34" t="n">
        <v>778.4</v>
      </c>
      <c r="S9" s="35">
        <f>O9-P9+Q9+R9</f>
        <v/>
      </c>
      <c r="T9" s="2" t="inlineStr">
        <is>
          <t>Pendente</t>
        </is>
      </c>
      <c r="U9" s="2" t="inlineStr">
        <is>
          <t>Ana Souza</t>
        </is>
      </c>
      <c r="V9" s="2" t="inlineStr">
        <is>
          <t>Aguardando aprovação</t>
        </is>
      </c>
    </row>
    <row r="10">
      <c r="A10" s="2" t="inlineStr">
        <is>
          <t>CMP-009</t>
        </is>
      </c>
      <c r="B10" s="32" t="n">
        <v>46134</v>
      </c>
      <c r="C10" s="32" t="n">
        <v>46142</v>
      </c>
      <c r="D10" s="5" t="n"/>
      <c r="E10" s="2" t="inlineStr">
        <is>
          <t>Fita isolante</t>
        </is>
      </c>
      <c r="F10" s="4">
        <f>IFERROR(VLOOKUP(E10,Cadastro!$A$2:$G$20,3,FALSE),"Não cadastrado")</f>
        <v/>
      </c>
      <c r="G10" s="2" t="inlineStr">
        <is>
          <t>Elétrica Brasília</t>
        </is>
      </c>
      <c r="H10" s="2" t="inlineStr">
        <is>
          <t>90.123.456/0001-09</t>
        </is>
      </c>
      <c r="I10" s="2" t="inlineStr">
        <is>
          <t>Brasília/DF</t>
        </is>
      </c>
      <c r="J10" s="2" t="inlineStr"/>
      <c r="K10" s="5" t="n">
        <v>240</v>
      </c>
      <c r="L10" s="4">
        <f>IFERROR(VLOOKUP(E10,Cadastro!$A$2:$G$20,4,FALSE),"")</f>
        <v/>
      </c>
      <c r="M10" s="33">
        <f>IFERROR(VLOOKUP(E10,Cadastro!$A$2:$G$20,6,FALSE),8.9)</f>
        <v/>
      </c>
      <c r="N10" s="7" t="n">
        <v>0</v>
      </c>
      <c r="O10" s="33">
        <f>K10*M10</f>
        <v/>
      </c>
      <c r="P10" s="33">
        <f>O10*N10</f>
        <v/>
      </c>
      <c r="Q10" s="34" t="n">
        <v>45</v>
      </c>
      <c r="R10" s="34" t="n">
        <v>170.88</v>
      </c>
      <c r="S10" s="33">
        <f>O10-P10+Q10+R10</f>
        <v/>
      </c>
      <c r="T10" s="2" t="inlineStr">
        <is>
          <t>Pendente</t>
        </is>
      </c>
      <c r="U10" s="2" t="inlineStr">
        <is>
          <t>João Silva</t>
        </is>
      </c>
      <c r="V10" s="2" t="inlineStr">
        <is>
          <t>Reposição de estoque</t>
        </is>
      </c>
    </row>
    <row r="11">
      <c r="A11" s="11" t="n"/>
      <c r="B11" s="11" t="n"/>
      <c r="C11" s="11" t="n"/>
      <c r="D11" s="11" t="n"/>
      <c r="E11" s="11" t="inlineStr">
        <is>
          <t>TOTAIS</t>
        </is>
      </c>
      <c r="F11" s="11" t="n"/>
      <c r="G11" s="11" t="n"/>
      <c r="H11" s="11" t="n"/>
      <c r="I11" s="11" t="n"/>
      <c r="J11" s="11" t="n"/>
      <c r="K11" s="11" t="n"/>
      <c r="L11" s="11" t="n"/>
      <c r="M11" s="12" t="n"/>
      <c r="N11" s="12" t="n"/>
      <c r="O11" s="36">
        <f>SUM(O2:O10)</f>
        <v/>
      </c>
      <c r="P11" s="36">
        <f>SUM(P2:P10)</f>
        <v/>
      </c>
      <c r="Q11" s="36">
        <f>SUM(Q2:Q10)</f>
        <v/>
      </c>
      <c r="R11" s="36">
        <f>SUM(R2:R10)</f>
        <v/>
      </c>
      <c r="S11" s="36">
        <f>SUM(S2:S10)</f>
        <v/>
      </c>
      <c r="T11" s="12" t="n"/>
      <c r="U11" s="12" t="n"/>
      <c r="V11" s="12" t="n"/>
    </row>
  </sheetData>
  <autoFilter ref="A1:V10"/>
  <conditionalFormatting sqref="T2:T10">
    <cfRule type="expression" priority="1" dxfId="0" stopIfTrue="1">
      <formula>$T2="Recebido"</formula>
    </cfRule>
    <cfRule type="expression" priority="2" dxfId="1" stopIfTrue="1">
      <formula>$T2="Pendente"</formula>
    </cfRule>
    <cfRule type="expression" priority="3" dxfId="2" stopIfTrue="1">
      <formula>$T2="Atrasado"</formula>
    </cfRule>
    <cfRule type="expression" priority="4" dxfId="2" stopIfTrue="1">
      <formula>$T2="Cancelada"</formula>
    </cfRule>
  </conditionalFormatting>
  <dataValidations count="1">
    <dataValidation sqref="T2:T10" showErrorMessage="1" showDropDown="0" showInputMessage="1" allowBlank="1" type="list">
      <formula1>"Pendente,Aprovada,Em trânsito,Recebido,Cancelada"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16" customWidth="1" min="1" max="1"/>
    <col width="24" customWidth="1" min="2" max="2"/>
    <col width="22" customWidth="1" min="3" max="3"/>
    <col width="12" customWidth="1" min="4" max="4"/>
    <col width="14" customWidth="1" min="5" max="5"/>
    <col width="20" customWidth="1" min="6" max="6"/>
    <col width="24" customWidth="1" min="7" max="7"/>
  </cols>
  <sheetData>
    <row r="1" ht="28" customHeight="1">
      <c r="A1" s="1" t="inlineStr">
        <is>
          <t>Código do Material</t>
        </is>
      </c>
      <c r="B1" s="1" t="inlineStr">
        <is>
          <t>Material</t>
        </is>
      </c>
      <c r="C1" s="1" t="inlineStr">
        <is>
          <t>Categoria</t>
        </is>
      </c>
      <c r="D1" s="1" t="inlineStr">
        <is>
          <t>Unidade</t>
        </is>
      </c>
      <c r="E1" s="1" t="inlineStr">
        <is>
          <t>Estoque Mínimo</t>
        </is>
      </c>
      <c r="F1" s="1" t="inlineStr">
        <is>
          <t>Preço de Referência (R$)</t>
        </is>
      </c>
      <c r="G1" s="1" t="inlineStr">
        <is>
          <t>Fornecedor Principal</t>
        </is>
      </c>
    </row>
    <row r="2">
      <c r="A2" s="14" t="inlineStr">
        <is>
          <t>MAT-001</t>
        </is>
      </c>
      <c r="B2" s="4" t="inlineStr">
        <is>
          <t>Cimento CP-II</t>
        </is>
      </c>
      <c r="C2" s="4" t="inlineStr">
        <is>
          <t>Cimento e Argamassa</t>
        </is>
      </c>
      <c r="D2" s="14" t="inlineStr">
        <is>
          <t>saco</t>
        </is>
      </c>
      <c r="E2" s="14" t="n">
        <v>30</v>
      </c>
      <c r="F2" s="33" t="n">
        <v>38.5</v>
      </c>
      <c r="G2" s="4" t="inlineStr">
        <is>
          <t>Construmais Materiais</t>
        </is>
      </c>
    </row>
    <row r="3">
      <c r="A3" s="15" t="inlineStr">
        <is>
          <t>MAT-002</t>
        </is>
      </c>
      <c r="B3" s="9" t="inlineStr">
        <is>
          <t>Tubos PVC 100 mm</t>
        </is>
      </c>
      <c r="C3" s="9" t="inlineStr">
        <is>
          <t>Hidráulica</t>
        </is>
      </c>
      <c r="D3" s="15" t="inlineStr">
        <is>
          <t>unidade</t>
        </is>
      </c>
      <c r="E3" s="15" t="n">
        <v>15</v>
      </c>
      <c r="F3" s="35" t="n">
        <v>42.9</v>
      </c>
      <c r="G3" s="9" t="inlineStr">
        <is>
          <t>Hidrocenter</t>
        </is>
      </c>
    </row>
    <row r="4">
      <c r="A4" s="14" t="inlineStr">
        <is>
          <t>MAT-003</t>
        </is>
      </c>
      <c r="B4" s="4" t="inlineStr">
        <is>
          <t>Tinta acrílica branca</t>
        </is>
      </c>
      <c r="C4" s="4" t="inlineStr">
        <is>
          <t>Tintas</t>
        </is>
      </c>
      <c r="D4" s="14" t="inlineStr">
        <is>
          <t>lata</t>
        </is>
      </c>
      <c r="E4" s="14" t="n">
        <v>6</v>
      </c>
      <c r="F4" s="33" t="n">
        <v>189.9</v>
      </c>
      <c r="G4" s="4" t="inlineStr">
        <is>
          <t>Tintas Brasil</t>
        </is>
      </c>
    </row>
    <row r="5">
      <c r="A5" s="15" t="inlineStr">
        <is>
          <t>MAT-004</t>
        </is>
      </c>
      <c r="B5" s="9" t="inlineStr">
        <is>
          <t>Cabos elétricos 2,5 mm</t>
        </is>
      </c>
      <c r="C5" s="9" t="inlineStr">
        <is>
          <t>Elétrica</t>
        </is>
      </c>
      <c r="D5" s="15" t="inlineStr">
        <is>
          <t>rolo</t>
        </is>
      </c>
      <c r="E5" s="15" t="n">
        <v>3</v>
      </c>
      <c r="F5" s="35" t="n">
        <v>329</v>
      </c>
      <c r="G5" s="9" t="inlineStr">
        <is>
          <t>EletroFort</t>
        </is>
      </c>
    </row>
    <row r="6">
      <c r="A6" s="14" t="inlineStr">
        <is>
          <t>MAT-005</t>
        </is>
      </c>
      <c r="B6" s="4" t="inlineStr">
        <is>
          <t>Parafusos sextavados</t>
        </is>
      </c>
      <c r="C6" s="4" t="inlineStr">
        <is>
          <t>Ferragens</t>
        </is>
      </c>
      <c r="D6" s="14" t="inlineStr">
        <is>
          <t>unidade</t>
        </is>
      </c>
      <c r="E6" s="14" t="n">
        <v>500</v>
      </c>
      <c r="F6" s="33" t="n">
        <v>0.85</v>
      </c>
      <c r="G6" s="4" t="inlineStr">
        <is>
          <t>Ferragens Curitiba</t>
        </is>
      </c>
    </row>
    <row r="7">
      <c r="A7" s="15" t="inlineStr">
        <is>
          <t>MAT-006</t>
        </is>
      </c>
      <c r="B7" s="9" t="inlineStr">
        <is>
          <t>Argamassa AC-II</t>
        </is>
      </c>
      <c r="C7" s="9" t="inlineStr">
        <is>
          <t>Cimento e Argamassa</t>
        </is>
      </c>
      <c r="D7" s="15" t="inlineStr">
        <is>
          <t>saco</t>
        </is>
      </c>
      <c r="E7" s="15" t="n">
        <v>40</v>
      </c>
      <c r="F7" s="35" t="n">
        <v>29.75</v>
      </c>
      <c r="G7" s="9" t="inlineStr">
        <is>
          <t>Casa do Pedreiro</t>
        </is>
      </c>
    </row>
    <row r="8">
      <c r="A8" s="14" t="inlineStr">
        <is>
          <t>MAT-007</t>
        </is>
      </c>
      <c r="B8" s="4" t="inlineStr">
        <is>
          <t>Luvas de segurança</t>
        </is>
      </c>
      <c r="C8" s="4" t="inlineStr">
        <is>
          <t>EPI</t>
        </is>
      </c>
      <c r="D8" s="14" t="inlineStr">
        <is>
          <t>par</t>
        </is>
      </c>
      <c r="E8" s="14" t="n">
        <v>25</v>
      </c>
      <c r="F8" s="33" t="n">
        <v>18.4</v>
      </c>
      <c r="G8" s="4" t="inlineStr">
        <is>
          <t>Protege Equipamentos</t>
        </is>
      </c>
    </row>
    <row r="9">
      <c r="A9" s="15" t="inlineStr">
        <is>
          <t>MAT-008</t>
        </is>
      </c>
      <c r="B9" s="9" t="inlineStr">
        <is>
          <t>Chapas de MDF</t>
        </is>
      </c>
      <c r="C9" s="9" t="inlineStr">
        <is>
          <t>Madeiras</t>
        </is>
      </c>
      <c r="D9" s="15" t="inlineStr">
        <is>
          <t>chapa</t>
        </is>
      </c>
      <c r="E9" s="15" t="n">
        <v>8</v>
      </c>
      <c r="F9" s="35" t="n">
        <v>278</v>
      </c>
      <c r="G9" s="9" t="inlineStr">
        <is>
          <t>MadeiraSul</t>
        </is>
      </c>
    </row>
    <row r="10">
      <c r="A10" s="14" t="inlineStr">
        <is>
          <t>MAT-009</t>
        </is>
      </c>
      <c r="B10" s="4" t="inlineStr">
        <is>
          <t>Fita isolante</t>
        </is>
      </c>
      <c r="C10" s="4" t="inlineStr">
        <is>
          <t>Elétrica</t>
        </is>
      </c>
      <c r="D10" s="14" t="inlineStr">
        <is>
          <t>unidade</t>
        </is>
      </c>
      <c r="E10" s="14" t="n">
        <v>60</v>
      </c>
      <c r="F10" s="33" t="n">
        <v>8.9</v>
      </c>
      <c r="G10" s="4" t="inlineStr">
        <is>
          <t>Elétrica Brasília</t>
        </is>
      </c>
    </row>
    <row r="11"/>
    <row r="12"/>
    <row r="13">
      <c r="A13" s="16" t="inlineStr">
        <is>
          <t>FORNECEDORES CADASTRADOS</t>
        </is>
      </c>
    </row>
    <row r="14" ht="26" customHeight="1">
      <c r="A14" s="17" t="inlineStr">
        <is>
          <t>Fornecedor</t>
        </is>
      </c>
      <c r="B14" s="17" t="inlineStr">
        <is>
          <t>CNPJ</t>
        </is>
      </c>
      <c r="C14" s="17" t="inlineStr">
        <is>
          <t>Cidade/UF</t>
        </is>
      </c>
      <c r="D14" s="17" t="inlineStr">
        <is>
          <t>Regime Tributário</t>
        </is>
      </c>
      <c r="E14" s="17" t="inlineStr">
        <is>
          <t>Contato</t>
        </is>
      </c>
      <c r="F14" s="17" t="inlineStr">
        <is>
          <t>Prazo Médio (dias)</t>
        </is>
      </c>
    </row>
    <row r="15">
      <c r="A15" s="9" t="inlineStr">
        <is>
          <t>Construmais Materiais</t>
        </is>
      </c>
      <c r="B15" s="9" t="inlineStr">
        <is>
          <t>12.345.678/0001-01</t>
        </is>
      </c>
      <c r="C15" s="9" t="inlineStr">
        <is>
          <t>São Paulo/SP</t>
        </is>
      </c>
      <c r="D15" s="9" t="inlineStr">
        <is>
          <t>Simples Nacional</t>
        </is>
      </c>
      <c r="E15" s="9" t="inlineStr">
        <is>
          <t>compras@construmais.com.br</t>
        </is>
      </c>
      <c r="F15" s="15" t="n">
        <v>7</v>
      </c>
    </row>
    <row r="16">
      <c r="A16" s="4" t="inlineStr">
        <is>
          <t>Hidrocenter</t>
        </is>
      </c>
      <c r="B16" s="4" t="inlineStr">
        <is>
          <t>23.456.789/0001-02</t>
        </is>
      </c>
      <c r="C16" s="4" t="inlineStr">
        <is>
          <t>Campinas/SP</t>
        </is>
      </c>
      <c r="D16" s="4" t="inlineStr">
        <is>
          <t>Lucro Presumido</t>
        </is>
      </c>
      <c r="E16" s="4" t="inlineStr">
        <is>
          <t>vendas@hidrocenter.com.br</t>
        </is>
      </c>
      <c r="F16" s="14" t="n">
        <v>8</v>
      </c>
    </row>
    <row r="17">
      <c r="A17" s="9" t="inlineStr">
        <is>
          <t>Tintas Brasil</t>
        </is>
      </c>
      <c r="B17" s="9" t="inlineStr">
        <is>
          <t>34.567.890/0001-03</t>
        </is>
      </c>
      <c r="C17" s="9" t="inlineStr">
        <is>
          <t>Belo Horizonte/MG</t>
        </is>
      </c>
      <c r="D17" s="9" t="inlineStr">
        <is>
          <t>Lucro Real</t>
        </is>
      </c>
      <c r="E17" s="9" t="inlineStr">
        <is>
          <t>pedidos@tintasbrasil.com.br</t>
        </is>
      </c>
      <c r="F17" s="15" t="n">
        <v>8</v>
      </c>
    </row>
    <row r="18">
      <c r="A18" s="4" t="inlineStr">
        <is>
          <t>EletroFort</t>
        </is>
      </c>
      <c r="B18" s="4" t="inlineStr">
        <is>
          <t>45.678.901/0001-04</t>
        </is>
      </c>
      <c r="C18" s="4" t="inlineStr">
        <is>
          <t>Fortaleza/CE</t>
        </is>
      </c>
      <c r="D18" s="4" t="inlineStr">
        <is>
          <t>Lucro Presumido</t>
        </is>
      </c>
      <c r="E18" s="4" t="inlineStr">
        <is>
          <t>comercial@eletrofort.com.br</t>
        </is>
      </c>
      <c r="F18" s="14" t="n">
        <v>10</v>
      </c>
    </row>
    <row r="19">
      <c r="A19" s="9" t="inlineStr">
        <is>
          <t>Ferragens Curitiba</t>
        </is>
      </c>
      <c r="B19" s="9" t="inlineStr">
        <is>
          <t>56.789.012/0001-05</t>
        </is>
      </c>
      <c r="C19" s="9" t="inlineStr">
        <is>
          <t>Curitiba/PR</t>
        </is>
      </c>
      <c r="D19" s="9" t="inlineStr">
        <is>
          <t>Simples Nacional</t>
        </is>
      </c>
      <c r="E19" s="9" t="inlineStr">
        <is>
          <t>vendas@ferragenscuritiba.com.br</t>
        </is>
      </c>
      <c r="F19" s="15" t="n">
        <v>9</v>
      </c>
    </row>
    <row r="20">
      <c r="A20" s="4" t="inlineStr">
        <is>
          <t>Casa do Pedreiro</t>
        </is>
      </c>
      <c r="B20" s="4" t="inlineStr">
        <is>
          <t>67.890.123/0001-06</t>
        </is>
      </c>
      <c r="C20" s="4" t="inlineStr">
        <is>
          <t>Rio de Janeiro/RJ</t>
        </is>
      </c>
      <c r="D20" s="4" t="inlineStr">
        <is>
          <t>Simples Nacional</t>
        </is>
      </c>
      <c r="E20" s="4" t="inlineStr">
        <is>
          <t>atendimento@casadopedreiro.com.br</t>
        </is>
      </c>
      <c r="F20" s="14" t="n">
        <v>9</v>
      </c>
    </row>
    <row r="21">
      <c r="A21" s="9" t="inlineStr">
        <is>
          <t>Protege Equipamentos</t>
        </is>
      </c>
      <c r="B21" s="9" t="inlineStr">
        <is>
          <t>78.901.234/0001-07</t>
        </is>
      </c>
      <c r="C21" s="9" t="inlineStr">
        <is>
          <t>Recife/PE</t>
        </is>
      </c>
      <c r="D21" s="9" t="inlineStr">
        <is>
          <t>Lucro Presumido</t>
        </is>
      </c>
      <c r="E21" s="9" t="inlineStr">
        <is>
          <t>epi@protege.com.br</t>
        </is>
      </c>
      <c r="F21" s="15" t="n">
        <v>9</v>
      </c>
    </row>
    <row r="22">
      <c r="A22" s="4" t="inlineStr">
        <is>
          <t>MadeiraSul</t>
        </is>
      </c>
      <c r="B22" s="4" t="inlineStr">
        <is>
          <t>89.012.345/0001-08</t>
        </is>
      </c>
      <c r="C22" s="4" t="inlineStr">
        <is>
          <t>Porto Alegre/RS</t>
        </is>
      </c>
      <c r="D22" s="4" t="inlineStr">
        <is>
          <t>Lucro Real</t>
        </is>
      </c>
      <c r="E22" s="4" t="inlineStr">
        <is>
          <t>vendas@madeirasul.com.br</t>
        </is>
      </c>
      <c r="F22" s="14" t="n">
        <v>10</v>
      </c>
    </row>
    <row r="23">
      <c r="A23" s="9" t="inlineStr">
        <is>
          <t>Elétrica Brasília</t>
        </is>
      </c>
      <c r="B23" s="9" t="inlineStr">
        <is>
          <t>90.123.456/0001-09</t>
        </is>
      </c>
      <c r="C23" s="9" t="inlineStr">
        <is>
          <t>Brasília/DF</t>
        </is>
      </c>
      <c r="D23" s="9" t="inlineStr">
        <is>
          <t>Simples Nacional</t>
        </is>
      </c>
      <c r="E23" s="9" t="inlineStr">
        <is>
          <t>pedidos@eletricabsb.com.br</t>
        </is>
      </c>
      <c r="F23" s="15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3" customWidth="1" min="3" max="3"/>
    <col width="26" customWidth="1" min="4" max="4"/>
    <col width="20" customWidth="1" min="5" max="5"/>
    <col width="3" customWidth="1" min="6" max="6"/>
    <col width="26" customWidth="1" min="7" max="7"/>
    <col width="20" customWidth="1" min="8" max="8"/>
  </cols>
  <sheetData>
    <row r="1">
      <c r="A1" s="18" t="inlineStr">
        <is>
          <t>PAINEL EXECUTIVO — COMPRA DE MATERIAIS (2026)</t>
        </is>
      </c>
    </row>
    <row r="2"/>
    <row r="3">
      <c r="A3" s="16" t="inlineStr">
        <is>
          <t>INDICADORES-CHAVE</t>
        </is>
      </c>
      <c r="D3" s="16" t="inlineStr">
        <is>
          <t>TOTAL POR CATEGORIA</t>
        </is>
      </c>
      <c r="G3" s="16" t="inlineStr">
        <is>
          <t>TOTAL POR FORNECEDOR</t>
        </is>
      </c>
    </row>
    <row r="4">
      <c r="A4" s="19" t="inlineStr">
        <is>
          <t>Total comprado</t>
        </is>
      </c>
      <c r="B4" s="37">
        <f>SUM(Compras!S2:S10)</f>
        <v/>
      </c>
      <c r="D4" s="1" t="inlineStr">
        <is>
          <t>Categoria</t>
        </is>
      </c>
      <c r="E4" s="1" t="inlineStr">
        <is>
          <t>Total Comprado (R$)</t>
        </is>
      </c>
      <c r="G4" s="1" t="inlineStr">
        <is>
          <t>Fornecedor</t>
        </is>
      </c>
      <c r="H4" s="1" t="inlineStr">
        <is>
          <t>Total Comprado (R$)</t>
        </is>
      </c>
    </row>
    <row r="5">
      <c r="A5" s="19" t="inlineStr">
        <is>
          <t>Média por compra</t>
        </is>
      </c>
      <c r="B5" s="38">
        <f>AVERAGE(Compras!S2:S10)</f>
        <v/>
      </c>
      <c r="D5" s="4" t="inlineStr">
        <is>
          <t>Cimento e Argamassa</t>
        </is>
      </c>
      <c r="E5" s="33">
        <f>SUMIF(Compras!$F$2:$F$10,D5,Compras!$S$2:$S$10)</f>
        <v/>
      </c>
      <c r="G5" s="4" t="inlineStr">
        <is>
          <t>Construmais Materiais</t>
        </is>
      </c>
      <c r="H5" s="33">
        <f>SUMIF(Compras!$G$2:$G$10,G5,Compras!$S$2:$S$10)</f>
        <v/>
      </c>
    </row>
    <row r="6">
      <c r="A6" s="19" t="inlineStr">
        <is>
          <t>Quantidade de compras</t>
        </is>
      </c>
      <c r="B6" s="22">
        <f>COUNTIF(Compras!A2:A10,"&lt;&gt;")</f>
        <v/>
      </c>
      <c r="D6" s="9" t="inlineStr">
        <is>
          <t>Hidráulica</t>
        </is>
      </c>
      <c r="E6" s="35">
        <f>SUMIF(Compras!$F$2:$F$10,D6,Compras!$S$2:$S$10)</f>
        <v/>
      </c>
      <c r="G6" s="9" t="inlineStr">
        <is>
          <t>Hidrocenter</t>
        </is>
      </c>
      <c r="H6" s="35">
        <f>SUMIF(Compras!$G$2:$G$10,G6,Compras!$S$2:$S$10)</f>
        <v/>
      </c>
    </row>
    <row r="7">
      <c r="A7" s="19" t="inlineStr">
        <is>
          <t>Compras recebidas</t>
        </is>
      </c>
      <c r="B7" s="23">
        <f>COUNTIF(Compras!T2:T10,"Recebido")</f>
        <v/>
      </c>
      <c r="D7" s="4" t="inlineStr">
        <is>
          <t>Tintas</t>
        </is>
      </c>
      <c r="E7" s="33">
        <f>SUMIF(Compras!$F$2:$F$10,D7,Compras!$S$2:$S$10)</f>
        <v/>
      </c>
      <c r="G7" s="4" t="inlineStr">
        <is>
          <t>Tintas Brasil</t>
        </is>
      </c>
      <c r="H7" s="33">
        <f>SUMIF(Compras!$G$2:$G$10,G7,Compras!$S$2:$S$10)</f>
        <v/>
      </c>
    </row>
    <row r="8">
      <c r="A8" s="19" t="inlineStr">
        <is>
          <t>Compras pendentes</t>
        </is>
      </c>
      <c r="B8" s="24">
        <f>COUNTIF(Compras!T2:T10,"Pendente")</f>
        <v/>
      </c>
      <c r="D8" s="9" t="inlineStr">
        <is>
          <t>Elétrica</t>
        </is>
      </c>
      <c r="E8" s="35">
        <f>SUMIF(Compras!$F$2:$F$10,D8,Compras!$S$2:$S$10)</f>
        <v/>
      </c>
      <c r="G8" s="9" t="inlineStr">
        <is>
          <t>EletroFort</t>
        </is>
      </c>
      <c r="H8" s="35">
        <f>SUMIF(Compras!$G$2:$G$10,G8,Compras!$S$2:$S$10)</f>
        <v/>
      </c>
    </row>
    <row r="9">
      <c r="A9" s="19" t="inlineStr">
        <is>
          <t>Percentual recebido</t>
        </is>
      </c>
      <c r="B9" s="25">
        <f>IFERROR(COUNTIF(Compras!T2:T10,"Recebido")/COUNTIF(Compras!A2:A10,"&lt;&gt;"),0)</f>
        <v/>
      </c>
      <c r="D9" s="4" t="inlineStr">
        <is>
          <t>Ferragens</t>
        </is>
      </c>
      <c r="E9" s="33">
        <f>SUMIF(Compras!$F$2:$F$10,D9,Compras!$S$2:$S$10)</f>
        <v/>
      </c>
      <c r="G9" s="4" t="inlineStr">
        <is>
          <t>Ferragens Curitiba</t>
        </is>
      </c>
      <c r="H9" s="33">
        <f>SUMIF(Compras!$G$2:$G$10,G9,Compras!$S$2:$S$10)</f>
        <v/>
      </c>
    </row>
    <row r="10">
      <c r="A10" s="19" t="inlineStr">
        <is>
          <t>Valor de compras pendentes</t>
        </is>
      </c>
      <c r="B10" s="39">
        <f>SUMIF(Compras!T2:T10,"Pendente",Compras!S2:S10)</f>
        <v/>
      </c>
      <c r="D10" s="9" t="inlineStr">
        <is>
          <t>EPI</t>
        </is>
      </c>
      <c r="E10" s="35">
        <f>SUMIF(Compras!$F$2:$F$10,D10,Compras!$S$2:$S$10)</f>
        <v/>
      </c>
      <c r="G10" s="9" t="inlineStr">
        <is>
          <t>Casa do Pedreiro</t>
        </is>
      </c>
      <c r="H10" s="35">
        <f>SUMIF(Compras!$G$2:$G$10,G10,Compras!$S$2:$S$10)</f>
        <v/>
      </c>
    </row>
    <row r="11">
      <c r="D11" s="4" t="inlineStr">
        <is>
          <t>Madeiras</t>
        </is>
      </c>
      <c r="E11" s="33">
        <f>SUMIF(Compras!$F$2:$F$10,D11,Compras!$S$2:$S$10)</f>
        <v/>
      </c>
      <c r="G11" s="4" t="inlineStr">
        <is>
          <t>Protege Equipamentos</t>
        </is>
      </c>
      <c r="H11" s="33">
        <f>SUMIF(Compras!$G$2:$G$10,G11,Compras!$S$2:$S$10)</f>
        <v/>
      </c>
    </row>
    <row r="12">
      <c r="G12" s="9" t="inlineStr">
        <is>
          <t>MadeiraSul</t>
        </is>
      </c>
      <c r="H12" s="35">
        <f>SUMIF(Compras!$G$2:$G$10,G12,Compras!$S$2:$S$10)</f>
        <v/>
      </c>
    </row>
    <row r="13">
      <c r="D13" s="16" t="inlineStr">
        <is>
          <t>DISTRIBUIÇÃO POR STATUS</t>
        </is>
      </c>
      <c r="G13" s="27" t="inlineStr">
        <is>
          <t>EVOLUÇÃO MENSAL (VALOR TOTAL)</t>
        </is>
      </c>
      <c r="H13" s="33">
        <f>SUMIF(Compras!$G$2:$G$10,G13,Compras!$S$2:$S$10)</f>
        <v/>
      </c>
    </row>
    <row r="14">
      <c r="D14" s="1" t="inlineStr">
        <is>
          <t>Status</t>
        </is>
      </c>
      <c r="E14" s="1" t="inlineStr">
        <is>
          <t>Qtd</t>
        </is>
      </c>
      <c r="G14" s="1" t="inlineStr">
        <is>
          <t>Mês</t>
        </is>
      </c>
      <c r="H14" s="1" t="inlineStr">
        <is>
          <t>Total (R$)</t>
        </is>
      </c>
    </row>
    <row r="15">
      <c r="D15" s="28" t="inlineStr">
        <is>
          <t>Pendente</t>
        </is>
      </c>
      <c r="E15" s="29">
        <f>COUNTIF(Compras!$T$2:$T$10,D15)</f>
        <v/>
      </c>
      <c r="G15" s="28" t="inlineStr">
        <is>
          <t>Jan/2026</t>
        </is>
      </c>
      <c r="H15" s="35">
        <f>SUMIFS(Compras!$S$2:$S$10,Compras!$B$2:$B$10,"&gt;="&amp;DATE(2026,1,1),Compras!$B$2:$B$10,"&lt;"&amp;EDATE(DATE(2026,1,1),1))</f>
        <v/>
      </c>
    </row>
    <row r="16">
      <c r="D16" s="28" t="inlineStr">
        <is>
          <t>Aprovada</t>
        </is>
      </c>
      <c r="E16" s="29">
        <f>COUNTIF(Compras!$T$2:$T$10,D16)</f>
        <v/>
      </c>
      <c r="G16" s="28" t="inlineStr">
        <is>
          <t>Fev/2026</t>
        </is>
      </c>
      <c r="H16" s="35">
        <f>SUMIFS(Compras!$S$2:$S$10,Compras!$B$2:$B$10,"&gt;="&amp;DATE(2026,2,1),Compras!$B$2:$B$10,"&lt;"&amp;EDATE(DATE(2026,2,1),1))</f>
        <v/>
      </c>
    </row>
    <row r="17">
      <c r="D17" s="28" t="inlineStr">
        <is>
          <t>Em trânsito</t>
        </is>
      </c>
      <c r="E17" s="29">
        <f>COUNTIF(Compras!$T$2:$T$10,D17)</f>
        <v/>
      </c>
      <c r="G17" s="28" t="inlineStr">
        <is>
          <t>Mar/2026</t>
        </is>
      </c>
      <c r="H17" s="35">
        <f>SUMIFS(Compras!$S$2:$S$10,Compras!$B$2:$B$10,"&gt;="&amp;DATE(2026,3,1),Compras!$B$2:$B$10,"&lt;"&amp;EDATE(DATE(2026,3,1),1))</f>
        <v/>
      </c>
    </row>
    <row r="18">
      <c r="D18" s="28" t="inlineStr">
        <is>
          <t>Recebido</t>
        </is>
      </c>
      <c r="E18" s="29">
        <f>COUNTIF(Compras!$T$2:$T$10,D18)</f>
        <v/>
      </c>
      <c r="G18" s="28" t="inlineStr">
        <is>
          <t>Abr/2026</t>
        </is>
      </c>
      <c r="H18" s="35">
        <f>SUMIFS(Compras!$S$2:$S$10,Compras!$B$2:$B$10,"&gt;="&amp;DATE(2026,4,1),Compras!$B$2:$B$10,"&lt;"&amp;EDATE(DATE(2026,4,1),1))</f>
        <v/>
      </c>
    </row>
    <row r="19">
      <c r="D19" s="28" t="inlineStr">
        <is>
          <t>Cancelada</t>
        </is>
      </c>
      <c r="E19" s="29">
        <f>COUNTIF(Compras!$T$2:$T$10,D19)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6" t="inlineStr">
        <is>
          <t>INSTRUÇÕES DE USO — COMPRA DE MATERIAIS</t>
        </is>
      </c>
    </row>
    <row r="2">
      <c r="A2" s="30" t="inlineStr"/>
    </row>
    <row r="3">
      <c r="A3" s="31" t="inlineStr">
        <is>
          <t>PLANILHA COMPRAS</t>
        </is>
      </c>
    </row>
    <row r="4">
      <c r="A4" s="30" t="inlineStr">
        <is>
          <t xml:space="preserve">  • Registre cada compra em uma linha. As colunas com fundo amarelo (#FFFBEB) são de preenchimento manual.</t>
        </is>
      </c>
    </row>
    <row r="5">
      <c r="A5" s="30" t="inlineStr">
        <is>
          <t xml:space="preserve">  • Categoria, Unidade e Preço Unitário são preenchidos automaticamente via PROCV na planilha Cadastro.</t>
        </is>
      </c>
    </row>
    <row r="6">
      <c r="A6" s="30" t="inlineStr">
        <is>
          <t xml:space="preserve">  • Subtotal = Quantidade × Preço Unitário | Desconto = Subtotal × % | Total = Subtotal − Desconto + Frete + Impostos.</t>
        </is>
      </c>
    </row>
    <row r="7">
      <c r="A7" s="30" t="inlineStr">
        <is>
          <t xml:space="preserve">  • Status possui lista suspensa: Pendente, Aprovada, Em trânsito, Recebido, Cancelada.</t>
        </is>
      </c>
    </row>
    <row r="8">
      <c r="A8" s="30" t="inlineStr">
        <is>
          <t xml:space="preserve">  • Formatação condicional destaca Recebido (verde), Pendente (âmbar) e Atrasado/Cancelada (vermelho).</t>
        </is>
      </c>
    </row>
    <row r="9">
      <c r="A9" s="30" t="inlineStr">
        <is>
          <t xml:space="preserve">  • Sugestão de status automático: =IF(D2&lt;&gt;"","Recebido",IF(C2&lt;TODAY(),"Atrasado","Pendente")).</t>
        </is>
      </c>
    </row>
    <row r="10">
      <c r="A10" s="30" t="inlineStr"/>
    </row>
    <row r="11">
      <c r="A11" s="31" t="inlineStr">
        <is>
          <t>PLANILHA CADASTRO</t>
        </is>
      </c>
    </row>
    <row r="12">
      <c r="A12" s="30" t="inlineStr">
        <is>
          <t xml:space="preserve">  • Mantenha o cadastro de materiais (código, categoria, unidade, estoque mínimo, preço de referência).</t>
        </is>
      </c>
    </row>
    <row r="13">
      <c r="A13" s="30" t="inlineStr">
        <is>
          <t xml:space="preserve">  • Mantenha o cadastro de fornecedores (CNPJ, cidade/UF, regime tributário, contato, prazo médio).</t>
        </is>
      </c>
    </row>
    <row r="14">
      <c r="A14" s="30" t="inlineStr">
        <is>
          <t xml:space="preserve">  • Os CNPJs são fictícios, apenas para demonstração.</t>
        </is>
      </c>
    </row>
    <row r="15">
      <c r="A15" s="30" t="inlineStr"/>
    </row>
    <row r="16">
      <c r="A16" s="31" t="inlineStr">
        <is>
          <t>PLANILHA RESUMO</t>
        </is>
      </c>
    </row>
    <row r="17">
      <c r="A17" s="30" t="inlineStr">
        <is>
          <t xml:space="preserve">  • Painel executivo com indicadores calculados automaticamente a partir da planilha Compras.</t>
        </is>
      </c>
    </row>
    <row r="18">
      <c r="A18" s="30" t="inlineStr">
        <is>
          <t xml:space="preserve">  • Tabelas de total por categoria e por fornecedor usam SUMIF/SOMASE.</t>
        </is>
      </c>
    </row>
    <row r="19">
      <c r="A19" s="30" t="inlineStr">
        <is>
          <t xml:space="preserve">  • Gráficos: colunas (por categoria), pizza (por status) e linha (evolução mensal).</t>
        </is>
      </c>
    </row>
    <row r="20">
      <c r="A20" s="30" t="inlineStr"/>
    </row>
    <row r="21">
      <c r="A21" s="31" t="inlineStr">
        <is>
          <t>FORMATOS UTILIZADOS</t>
        </is>
      </c>
    </row>
    <row r="22">
      <c r="A22" s="30" t="inlineStr">
        <is>
          <t xml:space="preserve">  • Moeda: R$ #.##0,00 | Percentual: 0,00% | Datas: DD/MM/AAAA.</t>
        </is>
      </c>
    </row>
    <row r="23">
      <c r="A23" s="30" t="inlineStr">
        <is>
          <t xml:space="preserve">  • Todas as fórmulas são recalculadas automaticamente ao editar os dados.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2026-08-01T16:21:45Z</dcterms:created>
  <dcterms:modified xmlns:dcterms="http://purl.org/dc/terms/" xmlns:xsi="http://www.w3.org/2001/XMLSchema-instance" xsi:type="dcterms:W3CDTF">2026-08-01T16:21:45Z</dcterms:modified>
</cp:coreProperties>
</file>